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TPD1\Users$\c07semu\Desktop\2022 IA Files\"/>
    </mc:Choice>
  </mc:AlternateContent>
  <bookViews>
    <workbookView xWindow="0" yWindow="0" windowWidth="28800" windowHeight="12435" tabRatio="807" activeTab="9"/>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8" i="68" l="1"/>
  <c r="Q15" i="58" l="1"/>
  <c r="Q14" i="58"/>
  <c r="Q13" i="58"/>
  <c r="Q12" i="58"/>
  <c r="Q11" i="58"/>
  <c r="Q10" i="58"/>
  <c r="Q9" i="58"/>
  <c r="Q8" i="58"/>
  <c r="Q7" i="58"/>
  <c r="Q6" i="58"/>
  <c r="Q5" i="58"/>
  <c r="Q12" i="21" l="1"/>
  <c r="Q11" i="21"/>
  <c r="Q10" i="21"/>
  <c r="Q9" i="21"/>
  <c r="Q8" i="21"/>
  <c r="Q7" i="21"/>
  <c r="Q6" i="21"/>
  <c r="Q5" i="21"/>
  <c r="M299" i="70" l="1"/>
  <c r="P269" i="70"/>
  <c r="P268" i="70"/>
  <c r="A265" i="70"/>
  <c r="O240" i="70"/>
  <c r="O239" i="70"/>
  <c r="A237" i="70"/>
  <c r="O214" i="70"/>
  <c r="O213" i="70"/>
  <c r="A210" i="70"/>
  <c r="O168" i="70"/>
  <c r="O167" i="70"/>
  <c r="A165" i="70"/>
  <c r="O123" i="70"/>
  <c r="O122" i="70"/>
  <c r="A120" i="70"/>
  <c r="P89" i="70"/>
  <c r="A86" i="70"/>
  <c r="A52" i="70"/>
  <c r="M49" i="70"/>
  <c r="M48" i="70"/>
  <c r="I42" i="70"/>
  <c r="I34" i="70"/>
  <c r="C34" i="70"/>
  <c r="F28" i="70"/>
  <c r="A12" i="70"/>
  <c r="C10" i="70"/>
  <c r="B10" i="70"/>
  <c r="C9" i="70"/>
  <c r="B9" i="70"/>
  <c r="G148" i="70" s="1"/>
  <c r="C8" i="70"/>
  <c r="M299" i="69"/>
  <c r="P269" i="69"/>
  <c r="P268" i="69"/>
  <c r="A265" i="69"/>
  <c r="O240" i="69"/>
  <c r="O239" i="69"/>
  <c r="A237" i="69"/>
  <c r="O214" i="69"/>
  <c r="O213" i="69"/>
  <c r="A210" i="69"/>
  <c r="O168" i="69"/>
  <c r="O167" i="69"/>
  <c r="A165" i="69"/>
  <c r="O123" i="69"/>
  <c r="O122" i="69"/>
  <c r="A120" i="69"/>
  <c r="P89" i="69"/>
  <c r="P88" i="69"/>
  <c r="A86" i="69"/>
  <c r="A52" i="69"/>
  <c r="M49" i="69"/>
  <c r="M48" i="69"/>
  <c r="I42" i="69"/>
  <c r="I34" i="69"/>
  <c r="C34" i="69"/>
  <c r="F28" i="69"/>
  <c r="A12" i="69"/>
  <c r="C10" i="69"/>
  <c r="B10" i="69"/>
  <c r="C9" i="69"/>
  <c r="B9" i="69"/>
  <c r="C8" i="69"/>
  <c r="M299" i="68"/>
  <c r="P269" i="68"/>
  <c r="P268" i="68"/>
  <c r="A265" i="68"/>
  <c r="O240" i="68"/>
  <c r="O239" i="68"/>
  <c r="A237" i="68"/>
  <c r="O214" i="68"/>
  <c r="O213" i="68"/>
  <c r="A210" i="68"/>
  <c r="O168" i="68"/>
  <c r="O167" i="68"/>
  <c r="A165" i="68"/>
  <c r="O123" i="68"/>
  <c r="O122" i="68"/>
  <c r="A120" i="68"/>
  <c r="P89" i="68"/>
  <c r="P88" i="68"/>
  <c r="A86" i="68"/>
  <c r="A52" i="68"/>
  <c r="M49" i="68"/>
  <c r="M48" i="68"/>
  <c r="I42" i="68"/>
  <c r="I34" i="68"/>
  <c r="C34" i="68"/>
  <c r="F28" i="68"/>
  <c r="A12" i="68"/>
  <c r="C10" i="68"/>
  <c r="B10" i="68"/>
  <c r="C9" i="68"/>
  <c r="B9" i="68"/>
  <c r="Q159" i="68" s="1"/>
  <c r="C8" i="68"/>
  <c r="M299" i="67"/>
  <c r="P269" i="67"/>
  <c r="P268" i="67"/>
  <c r="A265" i="67"/>
  <c r="O240" i="67"/>
  <c r="O239" i="67"/>
  <c r="A237" i="67"/>
  <c r="O214" i="67"/>
  <c r="O213" i="67"/>
  <c r="A210" i="67"/>
  <c r="O168" i="67"/>
  <c r="O167" i="67"/>
  <c r="A165" i="67"/>
  <c r="O123" i="67"/>
  <c r="O122" i="67"/>
  <c r="A120" i="67"/>
  <c r="P89" i="67"/>
  <c r="P88" i="67"/>
  <c r="A86" i="67"/>
  <c r="C64" i="67"/>
  <c r="C58" i="67"/>
  <c r="A52" i="67"/>
  <c r="M49" i="67"/>
  <c r="M48" i="67"/>
  <c r="I42" i="67"/>
  <c r="I34" i="67"/>
  <c r="C34" i="67"/>
  <c r="F28" i="67"/>
  <c r="A12" i="67"/>
  <c r="C10" i="67"/>
  <c r="B10" i="67"/>
  <c r="C9" i="67"/>
  <c r="B9" i="67"/>
  <c r="J289" i="67" s="1"/>
  <c r="C8" i="67"/>
  <c r="A265" i="59"/>
  <c r="A237" i="59"/>
  <c r="A210" i="59"/>
  <c r="A165" i="59"/>
  <c r="A120" i="59"/>
  <c r="A86" i="59"/>
  <c r="A52" i="59"/>
  <c r="I42" i="59"/>
  <c r="I34" i="59"/>
  <c r="C34" i="59"/>
  <c r="F28" i="59"/>
  <c r="C9" i="59"/>
  <c r="A12" i="59"/>
  <c r="C10" i="59"/>
  <c r="C8" i="59"/>
  <c r="K76" i="70" l="1"/>
  <c r="G37" i="70"/>
  <c r="E60" i="70"/>
  <c r="H60" i="70" s="1"/>
  <c r="L93" i="70"/>
  <c r="F133" i="70"/>
  <c r="G41" i="70"/>
  <c r="M77" i="70"/>
  <c r="I94" i="70"/>
  <c r="H135" i="70"/>
  <c r="K135" i="70" s="1"/>
  <c r="F23" i="70"/>
  <c r="G78" i="70"/>
  <c r="F95" i="70"/>
  <c r="F156" i="70"/>
  <c r="B63" i="70"/>
  <c r="G74" i="70"/>
  <c r="O78" i="70"/>
  <c r="B96" i="70"/>
  <c r="G140" i="70"/>
  <c r="J140" i="70" s="1"/>
  <c r="K158" i="70"/>
  <c r="L18" i="70"/>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M270" i="70" s="1"/>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F92" i="70"/>
  <c r="L81" i="70"/>
  <c r="D81" i="70"/>
  <c r="J80" i="70"/>
  <c r="B80" i="70"/>
  <c r="C80" i="70" s="1"/>
  <c r="H79" i="70"/>
  <c r="N78" i="70"/>
  <c r="F78" i="70"/>
  <c r="L77" i="70"/>
  <c r="D77" i="70"/>
  <c r="J76" i="70"/>
  <c r="B76" i="70"/>
  <c r="H75" i="70"/>
  <c r="N74" i="70"/>
  <c r="L73" i="70"/>
  <c r="D73" i="70"/>
  <c r="F66" i="70"/>
  <c r="I66" i="70" s="1"/>
  <c r="G65" i="70"/>
  <c r="J65" i="70" s="1"/>
  <c r="B62" i="70"/>
  <c r="C61" i="70"/>
  <c r="D60" i="70"/>
  <c r="E59" i="70"/>
  <c r="H59" i="70" s="1"/>
  <c r="F58" i="70"/>
  <c r="K40" i="70"/>
  <c r="G36"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E74" i="70"/>
  <c r="K73" i="70"/>
  <c r="E66" i="70"/>
  <c r="H66" i="70" s="1"/>
  <c r="F65" i="70"/>
  <c r="I65" i="70" s="1"/>
  <c r="G64" i="70"/>
  <c r="J64" i="70" s="1"/>
  <c r="B61" i="70"/>
  <c r="C60" i="70"/>
  <c r="D59" i="70"/>
  <c r="E58"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K114" i="70" s="1"/>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L110" i="70"/>
  <c r="E93" i="70"/>
  <c r="H92" i="70"/>
  <c r="N81" i="70"/>
  <c r="F81" i="70"/>
  <c r="L80" i="70"/>
  <c r="D80" i="70"/>
  <c r="J79" i="70"/>
  <c r="B79" i="70"/>
  <c r="C79" i="70" s="1"/>
  <c r="H78" i="70"/>
  <c r="N77" i="70"/>
  <c r="F77" i="70"/>
  <c r="L76" i="70"/>
  <c r="D76" i="70"/>
  <c r="J75" i="70"/>
  <c r="B75" i="70"/>
  <c r="H74" i="70"/>
  <c r="N73" i="70"/>
  <c r="F73" i="70"/>
  <c r="B64" i="70"/>
  <c r="C63" i="70"/>
  <c r="D62" i="70"/>
  <c r="E61" i="70"/>
  <c r="H61" i="70" s="1"/>
  <c r="G59" i="70"/>
  <c r="J59" i="70" s="1"/>
  <c r="H23" i="70"/>
  <c r="H21" i="70"/>
  <c r="H19" i="70"/>
  <c r="H17" i="70"/>
  <c r="E77" i="70"/>
  <c r="D61" i="70"/>
  <c r="J154" i="70"/>
  <c r="C62" i="70"/>
  <c r="I79"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K114" i="69" s="1"/>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K113" i="69" s="1"/>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C74" i="68"/>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L110" i="68"/>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G58" i="68"/>
  <c r="G41" i="68"/>
  <c r="G37" i="68"/>
  <c r="F23" i="68"/>
  <c r="F21" i="68"/>
  <c r="F19"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F92" i="68"/>
  <c r="L81" i="68"/>
  <c r="D81" i="68"/>
  <c r="J80" i="68"/>
  <c r="B80" i="68"/>
  <c r="C80" i="68" s="1"/>
  <c r="H79" i="68"/>
  <c r="N78" i="68"/>
  <c r="F78" i="68"/>
  <c r="L77" i="68"/>
  <c r="D77" i="68"/>
  <c r="J76" i="68"/>
  <c r="B76" i="68"/>
  <c r="C76" i="68" s="1"/>
  <c r="H75" i="68"/>
  <c r="N74" i="68"/>
  <c r="L73" i="68"/>
  <c r="D73" i="68"/>
  <c r="F66" i="68"/>
  <c r="I66" i="68" s="1"/>
  <c r="G65" i="68"/>
  <c r="J65" i="68" s="1"/>
  <c r="B62" i="68"/>
  <c r="C61" i="68"/>
  <c r="D60" i="68"/>
  <c r="E59" i="68"/>
  <c r="H59" i="68" s="1"/>
  <c r="F58" i="68"/>
  <c r="K40" i="68"/>
  <c r="G36"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E74" i="68"/>
  <c r="K73" i="68"/>
  <c r="E66" i="68"/>
  <c r="H66" i="68" s="1"/>
  <c r="F65" i="68"/>
  <c r="I65" i="68" s="1"/>
  <c r="G64" i="68"/>
  <c r="J64" i="68" s="1"/>
  <c r="B61" i="68"/>
  <c r="C60" i="68"/>
  <c r="D59" i="68"/>
  <c r="E58"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F235" i="70" l="1"/>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K118" i="69" l="1"/>
  <c r="M278" i="69"/>
  <c r="M307" i="70"/>
  <c r="M278" i="70"/>
  <c r="M297" i="70"/>
  <c r="K35" i="70"/>
  <c r="H6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C76" i="70" l="1"/>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<sst xmlns="http://schemas.openxmlformats.org/spreadsheetml/2006/main" count="2915" uniqueCount="758">
  <si>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</si>
  <si>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</si>
  <si>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</si>
  <si>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</si>
  <si>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</si>
  <si>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</si>
  <si>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</si>
  <si>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</si>
  <si>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</si>
  <si>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</si>
  <si>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</si>
  <si>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</si>
  <si>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</si>
  <si>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</si>
  <si>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</si>
  <si>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</si>
  <si>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</si>
  <si>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</si>
  <si>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</si>
  <si>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</si>
  <si>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</si>
  <si>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</si>
  <si>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</si>
  <si>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</si>
  <si>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</si>
  <si>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</si>
  <si>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</si>
  <si>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</si>
  <si>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</si>
  <si>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</si>
  <si>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</si>
  <si>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</si>
  <si>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</si>
  <si>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</si>
  <si>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</si>
  <si>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</si>
  <si>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</si>
  <si>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</si>
  <si>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</si>
  <si>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</si>
  <si>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</si>
  <si>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</si>
  <si>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</si>
  <si>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</si>
  <si>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</si>
  <si>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</si>
  <si>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</si>
  <si>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</si>
  <si>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</si>
  <si>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</si>
  <si>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</si>
  <si>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</si>
  <si>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</si>
  <si>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</si>
  <si>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</si>
  <si>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</si>
  <si>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</si>
  <si>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</si>
  <si>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</si>
  <si>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</si>
  <si>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</si>
  <si>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</si>
  <si>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</si>
  <si>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</si>
  <si>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</si>
  <si>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</si>
  <si>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</si>
  <si>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</si>
  <si>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</si>
  <si>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</si>
  <si>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</si>
  <si>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</si>
  <si>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</si>
  <si>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</si>
  <si>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</si>
  <si>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</si>
  <si>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</si>
  <si>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</si>
  <si>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</si>
  <si>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</si>
  <si>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</si>
  <si>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</si>
  <si>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</si>
  <si>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</si>
  <si>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</si>
  <si>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</si>
  <si>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</si>
  <si>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</si>
  <si>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</si>
  <si>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</si>
  <si>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</si>
  <si>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</si>
  <si>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</si>
  <si>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</si>
  <si>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</si>
  <si>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</si>
  <si>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</si>
  <si>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</si>
  <si>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</si>
  <si>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</si>
  <si>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</si>
  <si>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</si>
  <si>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</si>
  <si>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</si>
  <si>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</si>
  <si>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</si>
  <si>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</si>
  <si>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</si>
  <si>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</si>
  <si>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</si>
  <si>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</si>
  <si>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</si>
  <si>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</si>
  <si>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</si>
  <si>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</si>
  <si>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</si>
  <si>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</si>
  <si>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</si>
  <si>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</si>
  <si>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</si>
  <si>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</si>
  <si>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</si>
  <si>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</si>
  <si>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</si>
  <si>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</si>
  <si>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</si>
  <si>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</si>
  <si>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</si>
  <si>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</si>
  <si>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</si>
  <si>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</si>
  <si>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</si>
  <si>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</si>
  <si>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</si>
  <si>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</si>
  <si>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</si>
  <si>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</si>
  <si>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</si>
  <si>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</si>
  <si>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</si>
  <si>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</si>
  <si>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</si>
  <si>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</si>
  <si>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</si>
  <si>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</si>
  <si>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</si>
  <si>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</si>
  <si>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</si>
  <si>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</si>
  <si>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</si>
  <si>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</si>
  <si>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</si>
  <si>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</si>
  <si>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</si>
  <si>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</si>
  <si>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</si>
  <si>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</si>
  <si>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</si>
  <si>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</si>
  <si>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</si>
  <si>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</si>
  <si>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</si>
  <si>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</si>
  <si>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</si>
  <si>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</si>
  <si>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</si>
  <si>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</si>
  <si>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</si>
  <si>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</si>
  <si>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</si>
  <si>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</si>
  <si>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</si>
  <si>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</si>
  <si>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</si>
  <si>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</si>
  <si>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</si>
  <si>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</si>
  <si>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</si>
  <si>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</si>
  <si>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</si>
  <si>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</si>
  <si>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</si>
  <si>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</si>
  <si>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</si>
  <si>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</si>
  <si>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</si>
  <si>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</si>
  <si>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</si>
  <si>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</si>
  <si>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</si>
  <si>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</si>
  <si>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</si>
  <si>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</si>
  <si>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</si>
  <si>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</si>
  <si>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</si>
  <si>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</si>
  <si>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</si>
  <si>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</si>
  <si>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</si>
  <si>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</si>
  <si>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</si>
  <si>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</si>
  <si>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</si>
  <si>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</si>
  <si>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</si>
  <si>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</si>
  <si>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</si>
  <si>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</si>
  <si>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</si>
  <si>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</si>
  <si>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</si>
  <si>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</si>
  <si>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</si>
  <si>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</si>
  <si>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</si>
  <si>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</si>
  <si>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</si>
  <si>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</si>
  <si>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</si>
  <si>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</si>
  <si>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</si>
  <si>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</si>
  <si>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</si>
  <si>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</si>
  <si>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</si>
  <si>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</si>
  <si>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</si>
  <si>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</si>
  <si>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</si>
  <si>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</si>
  <si>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</si>
  <si>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</si>
  <si>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</si>
  <si>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</si>
  <si>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</si>
  <si>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</si>
  <si>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</si>
  <si>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</si>
  <si>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</si>
  <si>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</si>
  <si>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</si>
  <si>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</si>
  <si>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</si>
  <si>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</si>
  <si>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</si>
  <si>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</si>
  <si>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</si>
  <si>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</si>
  <si>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</si>
  <si>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</si>
  <si>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</si>
  <si>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</si>
  <si>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</si>
  <si>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</si>
  <si>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</si>
  <si>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</si>
  <si>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</si>
  <si>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</si>
  <si>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</si>
  <si>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</si>
  <si>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</si>
  <si>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</si>
  <si>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</si>
  <si>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</si>
  <si>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</si>
  <si>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</si>
  <si>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</si>
  <si>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</si>
  <si>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</si>
  <si>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</si>
  <si>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</si>
  <si>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</si>
  <si>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</si>
  <si>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</si>
  <si>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</si>
  <si>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</si>
  <si>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</si>
  <si>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</si>
  <si>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</si>
  <si>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</si>
  <si>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</si>
  <si>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</si>
  <si>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</si>
  <si>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</si>
  <si>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</si>
  <si>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</si>
  <si>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</si>
  <si>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</si>
  <si>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</si>
  <si>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</si>
  <si>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</si>
  <si>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</si>
  <si>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</si>
  <si>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</si>
  <si>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</si>
  <si>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</si>
  <si>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</si>
  <si>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</si>
  <si>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</si>
  <si>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</si>
  <si>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</si>
  <si>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</si>
  <si>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</si>
  <si>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</si>
  <si>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</si>
  <si>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</si>
  <si>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</si>
  <si>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</si>
  <si>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</si>
  <si>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</si>
  <si>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</si>
  <si>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</si>
  <si>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</si>
  <si>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</si>
  <si>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</si>
  <si>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</si>
  <si>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</si>
  <si>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</si>
  <si>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</si>
  <si>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</si>
  <si>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</si>
  <si>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</si>
  <si>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</si>
  <si>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</si>
  <si>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</si>
  <si>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</si>
  <si>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</si>
  <si>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</si>
  <si>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</si>
  <si>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</si>
  <si>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</si>
  <si>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</si>
  <si>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</si>
  <si>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</si>
  <si>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</si>
  <si>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</si>
  <si>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</si>
  <si>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</si>
  <si>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</si>
  <si>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</si>
  <si>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</si>
  <si>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</si>
  <si>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</si>
  <si>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</si>
  <si>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</si>
  <si>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</si>
  <si>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</si>
  <si>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</si>
  <si>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</si>
  <si>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</si>
  <si>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</si>
  <si>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</si>
  <si>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</si>
  <si>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</si>
  <si>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</si>
  <si>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</si>
  <si>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</si>
  <si>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</si>
  <si>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</si>
  <si>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</si>
  <si>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</si>
  <si>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</si>
  <si>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</si>
  <si>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</si>
  <si>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</si>
  <si>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</si>
  <si>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</si>
  <si>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</si>
  <si>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</si>
  <si>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</si>
  <si>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</si>
  <si>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</si>
  <si>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</si>
  <si>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</si>
  <si>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</si>
  <si>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</si>
  <si>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</si>
  <si>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</si>
  <si>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</si>
  <si>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</si>
  <si>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</si>
  <si>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</si>
  <si>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</si>
  <si>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</si>
  <si>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</si>
  <si>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</si>
  <si>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</si>
  <si>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</si>
  <si>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</si>
  <si>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</si>
  <si>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</si>
  <si>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</si>
  <si>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</si>
  <si>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</si>
  <si>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</si>
  <si>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</si>
  <si>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</si>
  <si>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</si>
  <si>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</si>
  <si>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</si>
  <si>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</si>
  <si>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</si>
  <si>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</si>
  <si>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</si>
  <si>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</si>
  <si>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</si>
  <si>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</si>
  <si>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</si>
  <si>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</si>
  <si>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</si>
  <si>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</si>
  <si>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</si>
  <si>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</si>
  <si>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</si>
  <si>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</si>
  <si>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</si>
  <si>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</si>
  <si>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</si>
  <si>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</si>
  <si>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</si>
  <si>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</si>
  <si>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</si>
  <si>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</si>
  <si>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</si>
  <si>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</si>
  <si>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</si>
  <si>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</si>
  <si>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</si>
  <si>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</si>
  <si>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</si>
  <si>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</si>
  <si>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</si>
  <si>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</si>
  <si>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</si>
  <si>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</si>
  <si>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</si>
  <si>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</si>
  <si>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</si>
  <si>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</si>
  <si>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</si>
  <si>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</si>
  <si>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</si>
  <si>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</si>
  <si>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</si>
  <si>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</si>
  <si>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</si>
  <si>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</si>
  <si>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</si>
  <si>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</si>
  <si>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</si>
  <si>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</si>
  <si>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</si>
  <si>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</si>
  <si>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</si>
  <si>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</si>
  <si>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</si>
  <si>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</si>
  <si>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</si>
  <si>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</si>
  <si>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</si>
  <si>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</si>
  <si>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</si>
  <si>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</si>
  <si>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</si>
  <si>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</si>
  <si>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</si>
  <si>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</si>
  <si>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</si>
  <si>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</si>
  <si>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</si>
  <si>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</si>
  <si>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</si>
  <si>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</si>
  <si>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</si>
  <si>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</si>
  <si>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</si>
  <si>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</si>
  <si>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</si>
  <si>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</si>
  <si>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</si>
  <si>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</si>
  <si>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</si>
  <si>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</si>
  <si>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</si>
  <si>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</si>
  <si>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</si>
  <si>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</si>
  <si>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</si>
  <si>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</si>
  <si>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</si>
  <si>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</si>
  <si>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</si>
  <si>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</si>
  <si>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</si>
  <si>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</si>
  <si>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</si>
  <si>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</si>
  <si>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</si>
  <si>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</si>
  <si>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</si>
  <si>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</si>
  <si>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</si>
  <si>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</si>
  <si>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</si>
  <si>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</si>
  <si>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</si>
  <si>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</si>
  <si>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</si>
  <si>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</si>
  <si>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</si>
  <si>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</si>
  <si>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</si>
  <si>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</si>
  <si>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</si>
  <si>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</si>
  <si>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</si>
  <si>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</si>
  <si>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</si>
  <si>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</si>
  <si>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</si>
  <si>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</si>
  <si>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</si>
  <si>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</si>
  <si>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</si>
  <si>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</si>
  <si>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</si>
  <si>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</si>
  <si>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</si>
  <si>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</si>
  <si>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</si>
  <si>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</si>
  <si>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</si>
  <si>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</si>
  <si>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</si>
  <si>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</si>
  <si>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</si>
  <si>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</si>
  <si>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</si>
  <si>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</si>
  <si>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</si>
  <si>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</si>
  <si>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</si>
  <si>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</si>
  <si>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</si>
  <si>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</si>
  <si>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</si>
  <si>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</si>
  <si>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</si>
  <si>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</si>
  <si>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</si>
  <si>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</si>
  <si>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</si>
  <si>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</si>
  <si>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</si>
  <si>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</si>
  <si>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</si>
  <si>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</si>
  <si>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</si>
  <si>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</si>
  <si>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</si>
  <si>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</si>
  <si>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</si>
  <si>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</si>
  <si>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</si>
  <si>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</si>
  <si>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</si>
  <si>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</si>
  <si>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</si>
  <si>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</si>
  <si>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</si>
  <si>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</si>
  <si>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</si>
  <si>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</si>
  <si>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</si>
  <si>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</si>
  <si>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</si>
  <si>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</si>
  <si>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</si>
  <si>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</si>
  <si>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</si>
  <si>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</si>
  <si>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</si>
  <si>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</si>
  <si>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</si>
  <si>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</si>
  <si>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</si>
  <si>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</si>
  <si>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</si>
  <si>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</si>
  <si>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</si>
  <si>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</si>
  <si>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</si>
  <si>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</si>
  <si>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</si>
  <si>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</si>
  <si>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</si>
  <si>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</si>
  <si>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</si>
  <si>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</si>
  <si>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</si>
  <si>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</si>
  <si>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</si>
  <si>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</si>
  <si>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</si>
  <si>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</si>
  <si>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</si>
  <si>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</si>
  <si>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</si>
  <si>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</si>
  <si>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</si>
  <si>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</si>
  <si>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</si>
  <si>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</si>
  <si>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</si>
  <si>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</si>
  <si>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</si>
  <si>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</si>
  <si>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</si>
  <si>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</si>
  <si>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</si>
  <si>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</si>
  <si>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</si>
  <si>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</si>
  <si>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</si>
  <si>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</si>
  <si>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</si>
  <si>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</si>
  <si>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</si>
  <si>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</si>
  <si>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</si>
  <si>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</si>
  <si>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</si>
  <si>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</si>
  <si>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</si>
  <si>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</si>
  <si>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</si>
  <si>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</si>
  <si>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</si>
  <si>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</si>
  <si>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</si>
  <si>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</si>
  <si>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</si>
  <si>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</si>
  <si>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</si>
  <si>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</si>
  <si>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</si>
  <si>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</si>
  <si>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</si>
  <si>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</si>
  <si>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</si>
  <si>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</si>
  <si>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</si>
  <si>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</si>
  <si>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</si>
  <si>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</si>
  <si>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</si>
  <si>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</si>
  <si>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</si>
  <si>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</si>
  <si>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</si>
  <si>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</si>
  <si>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</si>
  <si>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</si>
  <si>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</si>
  <si>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</si>
  <si>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</si>
  <si>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</si>
  <si>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</si>
  <si>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</si>
  <si>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</si>
  <si>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</si>
  <si>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</si>
  <si>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</si>
  <si>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</si>
  <si>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</si>
  <si>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</si>
  <si>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</si>
  <si>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</si>
  <si>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</si>
  <si>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</si>
  <si>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</si>
  <si>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</si>
  <si>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</si>
  <si>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</si>
  <si>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</si>
  <si>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</si>
  <si>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</si>
  <si>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</si>
  <si>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</si>
  <si>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</si>
  <si>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</si>
  <si>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</si>
  <si>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</si>
  <si>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</si>
  <si>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</si>
  <si>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</si>
  <si>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</si>
  <si>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</si>
  <si>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</si>
  <si>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</si>
  <si>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</si>
  <si>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</si>
  <si>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</si>
  <si>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</si>
  <si>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</si>
  <si>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</si>
  <si>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</si>
  <si>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</si>
  <si>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</si>
  <si>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</si>
  <si>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</si>
  <si>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</si>
  <si>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</si>
  <si>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</si>
  <si>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</si>
  <si>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</si>
  <si>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</si>
  <si>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</si>
  <si>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</si>
  <si>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</si>
  <si>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</si>
  <si>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</si>
  <si>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</si>
  <si>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</si>
  <si>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</si>
  <si>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</si>
  <si>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</si>
  <si>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</si>
  <si>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</si>
  <si>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</si>
  <si>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</si>
  <si>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</si>
  <si>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</si>
  <si>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</si>
  <si>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</si>
  <si>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</si>
  <si>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</si>
  <si>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</si>
  <si>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</si>
  <si>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</si>
  <si>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</si>
  <si>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</si>
  <si>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</si>
  <si>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</si>
  <si>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</si>
  <si>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</si>
  <si>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</si>
  <si>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</si>
  <si>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</si>
  <si>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</si>
  <si>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</si>
  <si>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</si>
  <si>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</si>
  <si>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</si>
  <si>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</si>
  <si>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Chesterfield Twp PD, Burlington Co.</t>
  </si>
  <si>
    <t>Chesterfield Twp PD</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</si>
</sst>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57">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10" xfId="0" applyBorder="1" applyAlignment="1">
      <alignment horizontal="center"/>
    </xf>
    <xf numFmtId="0" fontId="0" fillId="0" borderId="6"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3" xfId="0" applyFont="1" applyBorder="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6" fillId="0" borderId="0" xfId="0" applyFont="1" applyAlignment="1">
      <alignment horizontal="center" vertical="center"/>
    </xf>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4" fillId="2" borderId="0" xfId="0" applyFont="1" applyFill="1" applyBorder="1" applyAlignment="1">
      <alignment horizont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0" fillId="0" borderId="3" xfId="0" applyBorder="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2" borderId="0" xfId="0" applyFont="1" applyFill="1" applyBorder="1" applyAlignment="1">
      <alignment horizontal="center"/>
    </xf>
    <xf numFmtId="0" fontId="1" fillId="0" borderId="3" xfId="0" applyFont="1" applyBorder="1" applyAlignment="1">
      <alignment horizontal="center"/>
    </xf>
    <xf numFmtId="0" fontId="0" fillId="0" borderId="0" xfId="0" applyAlignment="1">
      <alignment horizontal="center"/>
    </xf>
    <xf numFmtId="0" fontId="6" fillId="0" borderId="0" xfId="0" applyFont="1" applyAlignment="1">
      <alignment horizontal="center" vertic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0" fillId="0" borderId="0" xfId="0" applyBorder="1" applyAlignment="1">
      <alignment horizontal="left"/>
    </xf>
    <xf numFmtId="0" fontId="1" fillId="0" borderId="0" xfId="0" applyFont="1" applyAlignment="1">
      <alignment horizontal="right"/>
    </xf>
    <xf numFmtId="0" fontId="0" fillId="0" borderId="0" xfId="0" applyBorder="1" applyAlignment="1">
      <alignment horizontal="lef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1" fillId="0" borderId="0" xfId="0" applyFont="1" applyAlignment="1">
      <alignment horizontal="center" vertical="center" wrapText="1"/>
    </xf>
    <xf numFmtId="0" fontId="16" fillId="0" borderId="3"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6" fillId="0" borderId="3" xfId="0" applyFont="1" applyBorder="1" applyAlignment="1">
      <alignment horizontal="center" wrapText="1"/>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4" fillId="0" borderId="2" xfId="0" applyFont="1" applyBorder="1" applyAlignment="1">
      <alignment horizontal="center"/>
    </xf>
    <xf numFmtId="0" fontId="14" fillId="2" borderId="0" xfId="0" applyFont="1" applyFill="1" applyBorder="1" applyAlignment="1">
      <alignment horizontal="center"/>
    </xf>
    <xf numFmtId="0" fontId="14" fillId="2" borderId="2"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0" xfId="0" applyFont="1" applyFill="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1" fillId="0" borderId="0" xfId="0" applyFont="1" applyFill="1" applyAlignment="1">
      <alignment horizontal="center" vertic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2" fillId="0" borderId="0" xfId="0" applyFont="1" applyFill="1" applyBorder="1" applyAlignment="1">
      <alignment horizontal="center"/>
    </xf>
    <xf numFmtId="0" fontId="2" fillId="0" borderId="2" xfId="0" applyFont="1" applyFill="1" applyBorder="1" applyAlignment="1">
      <alignment horizontal="center"/>
    </xf>
    <xf numFmtId="0" fontId="2" fillId="0" borderId="1" xfId="0" applyFont="1" applyFill="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2" borderId="0" xfId="0" applyFont="1" applyFill="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236" t="s">
        <v>584</v>
      </c>
      <c r="C1" s="236"/>
      <c r="D1" s="236"/>
      <c r="E1" s="236"/>
      <c r="F1" s="236"/>
      <c r="G1" s="236"/>
      <c r="H1" s="236"/>
      <c r="I1" s="12"/>
    </row>
    <row r="2" spans="2:9" ht="14.65" customHeight="1" x14ac:dyDescent="0.55000000000000004">
      <c r="B2" s="236"/>
      <c r="C2" s="236"/>
      <c r="D2" s="236"/>
      <c r="E2" s="236"/>
      <c r="F2" s="236"/>
      <c r="G2" s="236"/>
      <c r="H2" s="236"/>
      <c r="I2" s="12"/>
    </row>
    <row r="3" spans="2:9" ht="14.65" customHeight="1" x14ac:dyDescent="0.55000000000000004">
      <c r="B3" s="236"/>
      <c r="C3" s="236"/>
      <c r="D3" s="236"/>
      <c r="E3" s="236"/>
      <c r="F3" s="236"/>
      <c r="G3" s="236"/>
      <c r="H3" s="236"/>
      <c r="I3" s="12"/>
    </row>
    <row r="4" spans="2:9" ht="14.65" customHeight="1" x14ac:dyDescent="0.55000000000000004">
      <c r="B4" s="236"/>
      <c r="C4" s="236"/>
      <c r="D4" s="236"/>
      <c r="E4" s="236"/>
      <c r="F4" s="236"/>
      <c r="G4" s="236"/>
      <c r="H4" s="236"/>
      <c r="I4" s="12"/>
    </row>
    <row r="5" spans="2:9" ht="30.6" customHeight="1" x14ac:dyDescent="0.25">
      <c r="C5" s="7"/>
      <c r="D5" s="7"/>
      <c r="E5" s="7"/>
      <c r="F5" s="7"/>
      <c r="G5" s="7"/>
      <c r="H5" s="7"/>
      <c r="I5" s="7"/>
    </row>
    <row r="6" spans="2:9" ht="48" customHeight="1" x14ac:dyDescent="0.25">
      <c r="B6" s="237" t="s">
        <v>755</v>
      </c>
      <c r="C6" s="237"/>
      <c r="D6" s="237"/>
      <c r="E6" s="237"/>
      <c r="F6" s="237"/>
      <c r="G6" s="237"/>
      <c r="H6" s="237"/>
    </row>
    <row r="7" spans="2:9" ht="10.15" customHeight="1" x14ac:dyDescent="0.25">
      <c r="C7" s="7"/>
      <c r="D7" s="7"/>
      <c r="E7" s="7"/>
      <c r="F7" s="7"/>
      <c r="G7" s="7"/>
      <c r="H7" s="7"/>
      <c r="I7" s="7"/>
    </row>
    <row r="8" spans="2:9" ht="31.15" customHeight="1" x14ac:dyDescent="0.25">
      <c r="B8" s="237" t="s">
        <v>751</v>
      </c>
      <c r="C8" s="237"/>
      <c r="D8" s="237"/>
      <c r="E8" s="237"/>
      <c r="F8" s="237"/>
      <c r="G8" s="237"/>
      <c r="H8" s="237"/>
    </row>
    <row r="13" spans="2:9" x14ac:dyDescent="0.25">
      <c r="B13" t="s">
        <v>35</v>
      </c>
      <c r="C13" s="238" t="s">
        <v>756</v>
      </c>
      <c r="D13" s="238"/>
      <c r="E13" s="238"/>
      <c r="F13" s="238"/>
      <c r="G13" s="40"/>
    </row>
    <row r="14" spans="2:9" x14ac:dyDescent="0.25">
      <c r="C14" s="41" t="s">
        <v>590</v>
      </c>
      <c r="D14" s="41"/>
      <c r="E14" s="41"/>
      <c r="F14" s="41"/>
      <c r="G14" s="41"/>
    </row>
    <row r="15" spans="2:9" x14ac:dyDescent="0.25">
      <c r="C15" s="30"/>
      <c r="D15" s="30"/>
      <c r="E15" s="30"/>
      <c r="F15" s="30"/>
      <c r="G15" s="30"/>
    </row>
    <row r="16" spans="2:9" x14ac:dyDescent="0.25">
      <c r="B16" t="s">
        <v>34</v>
      </c>
      <c r="C16" s="238">
        <v>2022</v>
      </c>
      <c r="D16" s="238"/>
      <c r="E16" s="238"/>
      <c r="F16" s="238"/>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formula1>2019</formula1>
    </dataValidation>
  </dataValidations>
  <hyperlinks>
    <hyperlink ref="B2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2:AE307"/>
  <sheetViews>
    <sheetView tabSelected="1" view="pageBreakPreview" topLeftCell="A52" zoomScale="110" zoomScaleNormal="100" zoomScaleSheetLayoutView="110" zoomScalePageLayoutView="60" workbookViewId="0">
      <selection activeCell="D63" sqref="D63"/>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v>2022</v>
      </c>
      <c r="C8" s="292" t="str">
        <f>$B$8&amp;" Internal Affairs Summary"</f>
        <v>2022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44562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44926</v>
      </c>
      <c r="C10" s="347" t="str">
        <f>"Internal Affairs: "&amp;$B$8&amp;" Snapshot"</f>
        <v>Internal Affairs: 2022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2022.</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v>1</v>
      </c>
      <c r="G17" s="274"/>
      <c r="H17" s="303">
        <f t="shared" si="1"/>
        <v>0</v>
      </c>
      <c r="I17" s="303"/>
      <c r="J17" s="303">
        <f t="shared" si="2"/>
        <v>0</v>
      </c>
      <c r="K17" s="303"/>
      <c r="L17" s="303">
        <v>1</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0</v>
      </c>
      <c r="G24" s="272"/>
      <c r="H24" s="301">
        <f t="shared" si="1"/>
        <v>0</v>
      </c>
      <c r="I24" s="301"/>
      <c r="J24" s="301">
        <f t="shared" si="2"/>
        <v>0</v>
      </c>
      <c r="K24" s="301"/>
      <c r="L24" s="301">
        <f t="shared" si="3"/>
        <v>0</v>
      </c>
      <c r="M24" s="301"/>
    </row>
    <row r="25" spans="3:16" ht="18.75" x14ac:dyDescent="0.3">
      <c r="C25" s="132"/>
      <c r="D25" s="132"/>
      <c r="E25" s="165" t="s">
        <v>615</v>
      </c>
      <c r="F25" s="308">
        <f>SUM(F16:F24)</f>
        <v>1</v>
      </c>
      <c r="G25" s="309"/>
      <c r="H25" s="310">
        <f t="shared" ref="H25" si="4">SUM(H16:H24)</f>
        <v>0</v>
      </c>
      <c r="I25" s="310"/>
      <c r="J25" s="310">
        <f>SUM(J16:J24)</f>
        <v>0</v>
      </c>
      <c r="K25" s="310"/>
      <c r="L25" s="310">
        <f>SUM(L16:L24)</f>
        <v>1</v>
      </c>
      <c r="M25" s="310"/>
    </row>
    <row r="28" spans="3:16" ht="21" x14ac:dyDescent="0.35">
      <c r="F28" s="293" t="str">
        <f>"Distribution of sources for complaints closed in "&amp;$B$8</f>
        <v>Distribution of sources for complaints closed in 2022</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v>1</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0</v>
      </c>
      <c r="I32" s="306"/>
      <c r="J32" s="305">
        <f>IF(SUM($F31:$J31)=0, "", J31/SUM($F31:$J31))</f>
        <v>1</v>
      </c>
      <c r="K32" s="307"/>
    </row>
    <row r="33" spans="1:17" ht="15.75" thickBot="1" x14ac:dyDescent="0.3"/>
    <row r="34" spans="1:17" ht="36.75" customHeight="1" x14ac:dyDescent="0.3">
      <c r="C34" s="268" t="str">
        <f>"Frequency of discipline by type for complaints closed in "&amp;$B$8</f>
        <v>Frequency of discipline by type for complaints closed in 2022</v>
      </c>
      <c r="D34" s="268"/>
      <c r="E34" s="268"/>
      <c r="F34" s="268"/>
      <c r="G34" s="208"/>
      <c r="I34" s="252" t="str">
        <f>$B$8&amp;" Summary"</f>
        <v>2022 Summary</v>
      </c>
      <c r="J34" s="252"/>
      <c r="K34" s="252"/>
      <c r="M34" s="283" t="s">
        <v>625</v>
      </c>
      <c r="N34" s="284"/>
      <c r="O34" s="284"/>
      <c r="P34" s="285"/>
    </row>
    <row r="35" spans="1:17" ht="18.75" customHeight="1" x14ac:dyDescent="0.3">
      <c r="B35" s="125"/>
      <c r="C35" s="125"/>
      <c r="D35" s="125"/>
      <c r="E35" s="207"/>
      <c r="F35" s="162" t="s">
        <v>663</v>
      </c>
      <c r="G35" s="207">
        <f t="shared" ref="G35:G43"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v>1</v>
      </c>
      <c r="M37" s="286"/>
      <c r="N37" s="287"/>
      <c r="O37" s="287"/>
      <c r="P37" s="288"/>
    </row>
    <row r="38" spans="1:17" ht="18.75" x14ac:dyDescent="0.3">
      <c r="B38" s="117"/>
      <c r="C38" s="117"/>
      <c r="D38" s="117"/>
      <c r="E38" s="210"/>
      <c r="F38" s="163" t="s">
        <v>666</v>
      </c>
      <c r="G38" s="210">
        <f t="shared" si="7"/>
        <v>0</v>
      </c>
      <c r="I38" s="271" t="s">
        <v>622</v>
      </c>
      <c r="J38" s="272"/>
      <c r="K38" s="212">
        <v>1</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2022</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v>1</v>
      </c>
      <c r="I44" s="125"/>
      <c r="J44" s="125"/>
      <c r="K44" s="125"/>
      <c r="M44" s="289"/>
      <c r="N44" s="290"/>
      <c r="O44" s="290"/>
      <c r="P44" s="291"/>
    </row>
    <row r="45" spans="1:17" ht="18.75" x14ac:dyDescent="0.3">
      <c r="B45" s="125"/>
      <c r="C45" s="125"/>
      <c r="D45" s="125"/>
      <c r="E45" s="125"/>
      <c r="F45" s="170" t="s">
        <v>615</v>
      </c>
      <c r="G45" s="171">
        <f>SUM(G35:G44)</f>
        <v>1</v>
      </c>
    </row>
    <row r="48" spans="1:17" x14ac:dyDescent="0.25">
      <c r="A48" s="1"/>
      <c r="K48" s="244" t="s">
        <v>33</v>
      </c>
      <c r="L48" s="244"/>
      <c r="M48" s="245" t="str">
        <f>'Start Here'!C$13</f>
        <v>Chesterfield Twp PD, Burlington Co.</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2022: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v>1</v>
      </c>
      <c r="G59" s="46">
        <f t="shared" si="9"/>
        <v>0</v>
      </c>
      <c r="H59" s="56" t="str">
        <f t="shared" si="10"/>
        <v/>
      </c>
      <c r="I59" s="46">
        <v>1</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v>0</v>
      </c>
      <c r="G60" s="45">
        <f t="shared" si="9"/>
        <v>0</v>
      </c>
      <c r="H60" s="57" t="str">
        <f t="shared" si="10"/>
        <v/>
      </c>
      <c r="I60" s="45"/>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1</v>
      </c>
      <c r="G67" s="64">
        <f>SUM(G58:G66)</f>
        <v>0</v>
      </c>
      <c r="H67" s="60" t="str">
        <f>IF(E67=0,"",(SUMIFS(OpenedNInitial,OpenedComplaintSource,H$57,OpenedComplaintReceived,"&gt;="&amp;$B$9,OpenedComplaintReceived,"&lt;="&amp;$B$10)/E67))</f>
        <v/>
      </c>
      <c r="I67" s="64">
        <v>1</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v>1</v>
      </c>
      <c r="G74" s="46">
        <f t="shared" si="17"/>
        <v>0</v>
      </c>
      <c r="H74" s="56">
        <f t="shared" si="18"/>
        <v>0</v>
      </c>
      <c r="I74" s="46">
        <f t="shared" si="18"/>
        <v>0</v>
      </c>
      <c r="J74" s="46">
        <f t="shared" si="18"/>
        <v>0</v>
      </c>
      <c r="K74" s="47">
        <f t="shared" si="18"/>
        <v>0</v>
      </c>
      <c r="L74" s="56">
        <f t="shared" si="19"/>
        <v>0</v>
      </c>
      <c r="M74" s="46">
        <v>1</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1</v>
      </c>
      <c r="G82" s="64">
        <f t="shared" si="23"/>
        <v>0</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2022: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t="s">
        <v>757</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v>1</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v>1</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1</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1</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f t="shared" si="34"/>
        <v>0</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f>IF(M101=0, "", (SUMIFS(PendingLengthOfCase, PendingInternalDisposition, "&lt;&gt;Sustained", PendingCloseDate, "&gt;="&amp;$B$9, PendingCloseDate, "&lt;="&amp;$B$10) + SUMIFS(OpenedLengthOfCase, OpenedInternalDisposition, "&lt;&gt;Sustained", OpenedCloseDate, "&gt;="&amp;$B$9, OpenedCloseDate, "&lt;="&amp;$B$10)) / M101)</f>
        <v>0</v>
      </c>
    </row>
    <row r="120" spans="1:17" x14ac:dyDescent="0.25">
      <c r="A120" s="341" t="str">
        <f>$B$8&amp;": Cases Opened and Closed, Alleged Other Rule Violations"</f>
        <v>2022: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2022: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2022: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2022: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2022: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v>1</v>
      </c>
      <c r="M270" s="122">
        <f t="shared" ref="M270:M278" si="94">SUM(D270:L270)</f>
        <v>1</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1</v>
      </c>
      <c r="M278" s="140">
        <f t="shared" si="94"/>
        <v>1</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5"/>
  <sheetViews>
    <sheetView workbookViewId="0">
      <selection activeCell="N11" sqref="N11"/>
    </sheetView>
  </sheetViews>
  <sheetFormatPr defaultRowHeight="15" x14ac:dyDescent="0.25"/>
  <sheetData>
    <row r="2" spans="2:11" ht="21" x14ac:dyDescent="0.25">
      <c r="B2" s="240" t="s">
        <v>750</v>
      </c>
      <c r="C2" s="240"/>
      <c r="D2" s="240"/>
      <c r="E2" s="240"/>
      <c r="F2" s="240"/>
      <c r="G2" s="240"/>
      <c r="H2" s="240"/>
      <c r="I2" s="240"/>
      <c r="J2" s="240"/>
      <c r="K2" s="240"/>
    </row>
    <row r="4" spans="2:11" x14ac:dyDescent="0.25">
      <c r="B4" s="239" t="s">
        <v>749</v>
      </c>
      <c r="C4" s="239"/>
      <c r="D4" s="239"/>
      <c r="E4" s="239"/>
      <c r="F4" s="239"/>
      <c r="G4" s="239"/>
      <c r="H4" s="239"/>
      <c r="I4" s="239"/>
      <c r="J4" s="239"/>
      <c r="K4" s="239"/>
    </row>
    <row r="5" spans="2:11" x14ac:dyDescent="0.25">
      <c r="B5" s="239"/>
      <c r="C5" s="239"/>
      <c r="D5" s="239"/>
      <c r="E5" s="239"/>
      <c r="F5" s="239"/>
      <c r="G5" s="239"/>
      <c r="H5" s="239"/>
      <c r="I5" s="239"/>
      <c r="J5" s="239"/>
      <c r="K5" s="239"/>
    </row>
    <row r="6" spans="2:11" x14ac:dyDescent="0.25">
      <c r="B6" s="239"/>
      <c r="C6" s="239"/>
      <c r="D6" s="239"/>
      <c r="E6" s="239"/>
      <c r="F6" s="239"/>
      <c r="G6" s="239"/>
      <c r="H6" s="239"/>
      <c r="I6" s="239"/>
      <c r="J6" s="239"/>
      <c r="K6" s="239"/>
    </row>
    <row r="7" spans="2:11" x14ac:dyDescent="0.25">
      <c r="B7" s="239"/>
      <c r="C7" s="239"/>
      <c r="D7" s="239"/>
      <c r="E7" s="239"/>
      <c r="F7" s="239"/>
      <c r="G7" s="239"/>
      <c r="H7" s="239"/>
      <c r="I7" s="239"/>
      <c r="J7" s="239"/>
      <c r="K7" s="239"/>
    </row>
    <row r="8" spans="2:11" x14ac:dyDescent="0.25">
      <c r="B8" s="239"/>
      <c r="C8" s="239"/>
      <c r="D8" s="239"/>
      <c r="E8" s="239"/>
      <c r="F8" s="239"/>
      <c r="G8" s="239"/>
      <c r="H8" s="239"/>
      <c r="I8" s="239"/>
      <c r="J8" s="239"/>
      <c r="K8" s="239"/>
    </row>
    <row r="9" spans="2:11" x14ac:dyDescent="0.25">
      <c r="B9" s="239"/>
      <c r="C9" s="239"/>
      <c r="D9" s="239"/>
      <c r="E9" s="239"/>
      <c r="F9" s="239"/>
      <c r="G9" s="239"/>
      <c r="H9" s="239"/>
      <c r="I9" s="239"/>
      <c r="J9" s="239"/>
      <c r="K9" s="239"/>
    </row>
    <row r="10" spans="2:11" x14ac:dyDescent="0.25">
      <c r="B10" s="239"/>
      <c r="C10" s="239"/>
      <c r="D10" s="239"/>
      <c r="E10" s="239"/>
      <c r="F10" s="239"/>
      <c r="G10" s="239"/>
      <c r="H10" s="239"/>
      <c r="I10" s="239"/>
      <c r="J10" s="239"/>
      <c r="K10" s="239"/>
    </row>
    <row r="11" spans="2:11" x14ac:dyDescent="0.25">
      <c r="B11" s="239"/>
      <c r="C11" s="239"/>
      <c r="D11" s="239"/>
      <c r="E11" s="239"/>
      <c r="F11" s="239"/>
      <c r="G11" s="239"/>
      <c r="H11" s="239"/>
      <c r="I11" s="239"/>
      <c r="J11" s="239"/>
      <c r="K11" s="239"/>
    </row>
    <row r="12" spans="2:11" x14ac:dyDescent="0.25">
      <c r="B12" s="239"/>
      <c r="C12" s="239"/>
      <c r="D12" s="239"/>
      <c r="E12" s="239"/>
      <c r="F12" s="239"/>
      <c r="G12" s="239"/>
      <c r="H12" s="239"/>
      <c r="I12" s="239"/>
      <c r="J12" s="239"/>
      <c r="K12" s="239"/>
    </row>
    <row r="13" spans="2:11" x14ac:dyDescent="0.25">
      <c r="B13" s="239"/>
      <c r="C13" s="239"/>
      <c r="D13" s="239"/>
      <c r="E13" s="239"/>
      <c r="F13" s="239"/>
      <c r="G13" s="239"/>
      <c r="H13" s="239"/>
      <c r="I13" s="239"/>
      <c r="J13" s="239"/>
      <c r="K13" s="239"/>
    </row>
    <row r="14" spans="2:11" x14ac:dyDescent="0.25">
      <c r="B14" s="239"/>
      <c r="C14" s="239"/>
      <c r="D14" s="239"/>
      <c r="E14" s="239"/>
      <c r="F14" s="239"/>
      <c r="G14" s="239"/>
      <c r="H14" s="239"/>
      <c r="I14" s="239"/>
      <c r="J14" s="239"/>
      <c r="K14" s="239"/>
    </row>
    <row r="15" spans="2:11" x14ac:dyDescent="0.25">
      <c r="B15" s="239"/>
      <c r="C15" s="239"/>
      <c r="D15" s="239"/>
      <c r="E15" s="239"/>
      <c r="F15" s="239"/>
      <c r="G15" s="239"/>
      <c r="H15" s="239"/>
      <c r="I15" s="239"/>
      <c r="J15" s="239"/>
      <c r="K15" s="239"/>
    </row>
    <row r="16" spans="2:11" x14ac:dyDescent="0.25">
      <c r="B16" s="239"/>
      <c r="C16" s="239"/>
      <c r="D16" s="239"/>
      <c r="E16" s="239"/>
      <c r="F16" s="239"/>
      <c r="G16" s="239"/>
      <c r="H16" s="239"/>
      <c r="I16" s="239"/>
      <c r="J16" s="239"/>
      <c r="K16" s="239"/>
    </row>
    <row r="17" spans="2:11" x14ac:dyDescent="0.25">
      <c r="B17" s="239"/>
      <c r="C17" s="239"/>
      <c r="D17" s="239"/>
      <c r="E17" s="239"/>
      <c r="F17" s="239"/>
      <c r="G17" s="239"/>
      <c r="H17" s="239"/>
      <c r="I17" s="239"/>
      <c r="J17" s="239"/>
      <c r="K17" s="239"/>
    </row>
    <row r="18" spans="2:11" x14ac:dyDescent="0.25">
      <c r="B18" s="239"/>
      <c r="C18" s="239"/>
      <c r="D18" s="239"/>
      <c r="E18" s="239"/>
      <c r="F18" s="239"/>
      <c r="G18" s="239"/>
      <c r="H18" s="239"/>
      <c r="I18" s="239"/>
      <c r="J18" s="239"/>
      <c r="K18" s="239"/>
    </row>
    <row r="19" spans="2:11" x14ac:dyDescent="0.25">
      <c r="B19" s="239"/>
      <c r="C19" s="239"/>
      <c r="D19" s="239"/>
      <c r="E19" s="239"/>
      <c r="F19" s="239"/>
      <c r="G19" s="239"/>
      <c r="H19" s="239"/>
      <c r="I19" s="239"/>
      <c r="J19" s="239"/>
      <c r="K19" s="239"/>
    </row>
    <row r="20" spans="2:11" x14ac:dyDescent="0.25">
      <c r="B20" s="239"/>
      <c r="C20" s="239"/>
      <c r="D20" s="239"/>
      <c r="E20" s="239"/>
      <c r="F20" s="239"/>
      <c r="G20" s="239"/>
      <c r="H20" s="239"/>
      <c r="I20" s="239"/>
      <c r="J20" s="239"/>
      <c r="K20" s="239"/>
    </row>
    <row r="21" spans="2:11" x14ac:dyDescent="0.25">
      <c r="B21" s="239"/>
      <c r="C21" s="239"/>
      <c r="D21" s="239"/>
      <c r="E21" s="239"/>
      <c r="F21" s="239"/>
      <c r="G21" s="239"/>
      <c r="H21" s="239"/>
      <c r="I21" s="239"/>
      <c r="J21" s="239"/>
      <c r="K21" s="239"/>
    </row>
    <row r="22" spans="2:11" x14ac:dyDescent="0.25">
      <c r="B22" s="239"/>
      <c r="C22" s="239"/>
      <c r="D22" s="239"/>
      <c r="E22" s="239"/>
      <c r="F22" s="239"/>
      <c r="G22" s="239"/>
      <c r="H22" s="239"/>
      <c r="I22" s="239"/>
      <c r="J22" s="239"/>
      <c r="K22" s="239"/>
    </row>
    <row r="23" spans="2:11" x14ac:dyDescent="0.25">
      <c r="B23" s="239"/>
      <c r="C23" s="239"/>
      <c r="D23" s="239"/>
      <c r="E23" s="239"/>
      <c r="F23" s="239"/>
      <c r="G23" s="239"/>
      <c r="H23" s="239"/>
      <c r="I23" s="239"/>
      <c r="J23" s="239"/>
      <c r="K23" s="239"/>
    </row>
    <row r="24" spans="2:11" x14ac:dyDescent="0.25">
      <c r="B24" s="239"/>
      <c r="C24" s="239"/>
      <c r="D24" s="239"/>
      <c r="E24" s="239"/>
      <c r="F24" s="239"/>
      <c r="G24" s="239"/>
      <c r="H24" s="239"/>
      <c r="I24" s="239"/>
      <c r="J24" s="239"/>
      <c r="K24" s="239"/>
    </row>
    <row r="25" spans="2:11" x14ac:dyDescent="0.25">
      <c r="B25" s="239"/>
      <c r="C25" s="239"/>
      <c r="D25" s="239"/>
      <c r="E25" s="239"/>
      <c r="F25" s="239"/>
      <c r="G25" s="239"/>
      <c r="H25" s="239"/>
      <c r="I25" s="239"/>
      <c r="J25" s="239"/>
      <c r="K25" s="239"/>
    </row>
    <row r="26" spans="2:11" x14ac:dyDescent="0.25">
      <c r="B26" s="239"/>
      <c r="C26" s="239"/>
      <c r="D26" s="239"/>
      <c r="E26" s="239"/>
      <c r="F26" s="239"/>
      <c r="G26" s="239"/>
      <c r="H26" s="239"/>
      <c r="I26" s="239"/>
      <c r="J26" s="239"/>
      <c r="K26" s="239"/>
    </row>
    <row r="27" spans="2:11" x14ac:dyDescent="0.25">
      <c r="B27" s="239"/>
      <c r="C27" s="239"/>
      <c r="D27" s="239"/>
      <c r="E27" s="239"/>
      <c r="F27" s="239"/>
      <c r="G27" s="239"/>
      <c r="H27" s="239"/>
      <c r="I27" s="239"/>
      <c r="J27" s="239"/>
      <c r="K27" s="239"/>
    </row>
    <row r="28" spans="2:11" x14ac:dyDescent="0.25">
      <c r="B28" s="239"/>
      <c r="C28" s="239"/>
      <c r="D28" s="239"/>
      <c r="E28" s="239"/>
      <c r="F28" s="239"/>
      <c r="G28" s="239"/>
      <c r="H28" s="239"/>
      <c r="I28" s="239"/>
      <c r="J28" s="239"/>
      <c r="K28" s="239"/>
    </row>
    <row r="29" spans="2:11" x14ac:dyDescent="0.25">
      <c r="B29" s="239"/>
      <c r="C29" s="239"/>
      <c r="D29" s="239"/>
      <c r="E29" s="239"/>
      <c r="F29" s="239"/>
      <c r="G29" s="239"/>
      <c r="H29" s="239"/>
      <c r="I29" s="239"/>
      <c r="J29" s="239"/>
      <c r="K29" s="239"/>
    </row>
    <row r="30" spans="2:11" x14ac:dyDescent="0.25">
      <c r="B30" s="239"/>
      <c r="C30" s="239"/>
      <c r="D30" s="239"/>
      <c r="E30" s="239"/>
      <c r="F30" s="239"/>
      <c r="G30" s="239"/>
      <c r="H30" s="239"/>
      <c r="I30" s="239"/>
      <c r="J30" s="239"/>
      <c r="K30" s="239"/>
    </row>
    <row r="31" spans="2:11" x14ac:dyDescent="0.25">
      <c r="B31" s="239"/>
      <c r="C31" s="239"/>
      <c r="D31" s="239"/>
      <c r="E31" s="239"/>
      <c r="F31" s="239"/>
      <c r="G31" s="239"/>
      <c r="H31" s="239"/>
      <c r="I31" s="239"/>
      <c r="J31" s="239"/>
      <c r="K31" s="239"/>
    </row>
    <row r="32" spans="2:11" x14ac:dyDescent="0.25">
      <c r="B32" s="239"/>
      <c r="C32" s="239"/>
      <c r="D32" s="239"/>
      <c r="E32" s="239"/>
      <c r="F32" s="239"/>
      <c r="G32" s="239"/>
      <c r="H32" s="239"/>
      <c r="I32" s="239"/>
      <c r="J32" s="239"/>
      <c r="K32" s="239"/>
    </row>
    <row r="33" spans="2:11" x14ac:dyDescent="0.25">
      <c r="B33" s="239"/>
      <c r="C33" s="239"/>
      <c r="D33" s="239"/>
      <c r="E33" s="239"/>
      <c r="F33" s="239"/>
      <c r="G33" s="239"/>
      <c r="H33" s="239"/>
      <c r="I33" s="239"/>
      <c r="J33" s="239"/>
      <c r="K33" s="239"/>
    </row>
    <row r="34" spans="2:11" x14ac:dyDescent="0.25">
      <c r="B34" s="239"/>
      <c r="C34" s="239"/>
      <c r="D34" s="239"/>
      <c r="E34" s="239"/>
      <c r="F34" s="239"/>
      <c r="G34" s="239"/>
      <c r="H34" s="239"/>
      <c r="I34" s="239"/>
      <c r="J34" s="239"/>
      <c r="K34" s="239"/>
    </row>
    <row r="35" spans="2:11" x14ac:dyDescent="0.25">
      <c r="B35" s="239"/>
      <c r="C35" s="239"/>
      <c r="D35" s="239"/>
      <c r="E35" s="239"/>
      <c r="F35" s="239"/>
      <c r="G35" s="239"/>
      <c r="H35" s="239"/>
      <c r="I35" s="239"/>
      <c r="J35" s="239"/>
      <c r="K35" s="239"/>
    </row>
    <row r="36" spans="2:11" x14ac:dyDescent="0.25">
      <c r="B36" s="239"/>
      <c r="C36" s="239"/>
      <c r="D36" s="239"/>
      <c r="E36" s="239"/>
      <c r="F36" s="239"/>
      <c r="G36" s="239"/>
      <c r="H36" s="239"/>
      <c r="I36" s="239"/>
      <c r="J36" s="239"/>
      <c r="K36" s="239"/>
    </row>
    <row r="37" spans="2:11" x14ac:dyDescent="0.25">
      <c r="B37" s="239"/>
      <c r="C37" s="239"/>
      <c r="D37" s="239"/>
      <c r="E37" s="239"/>
      <c r="F37" s="239"/>
      <c r="G37" s="239"/>
      <c r="H37" s="239"/>
      <c r="I37" s="239"/>
      <c r="J37" s="239"/>
      <c r="K37" s="239"/>
    </row>
    <row r="38" spans="2:11" x14ac:dyDescent="0.25">
      <c r="B38" s="239"/>
      <c r="C38" s="239"/>
      <c r="D38" s="239"/>
      <c r="E38" s="239"/>
      <c r="F38" s="239"/>
      <c r="G38" s="239"/>
      <c r="H38" s="239"/>
      <c r="I38" s="239"/>
      <c r="J38" s="239"/>
      <c r="K38" s="239"/>
    </row>
    <row r="39" spans="2:11" x14ac:dyDescent="0.25">
      <c r="B39" s="239"/>
      <c r="C39" s="239"/>
      <c r="D39" s="239"/>
      <c r="E39" s="239"/>
      <c r="F39" s="239"/>
      <c r="G39" s="239"/>
      <c r="H39" s="239"/>
      <c r="I39" s="239"/>
      <c r="J39" s="239"/>
      <c r="K39" s="239"/>
    </row>
    <row r="40" spans="2:11" x14ac:dyDescent="0.25">
      <c r="B40" s="239"/>
      <c r="C40" s="239"/>
      <c r="D40" s="239"/>
      <c r="E40" s="239"/>
      <c r="F40" s="239"/>
      <c r="G40" s="239"/>
      <c r="H40" s="239"/>
      <c r="I40" s="239"/>
      <c r="J40" s="239"/>
      <c r="K40" s="239"/>
    </row>
    <row r="41" spans="2:11" x14ac:dyDescent="0.25">
      <c r="B41" s="239"/>
      <c r="C41" s="239"/>
      <c r="D41" s="239"/>
      <c r="E41" s="239"/>
      <c r="F41" s="239"/>
      <c r="G41" s="239"/>
      <c r="H41" s="239"/>
      <c r="I41" s="239"/>
      <c r="J41" s="239"/>
      <c r="K41" s="239"/>
    </row>
    <row r="42" spans="2:11" x14ac:dyDescent="0.25">
      <c r="B42" s="239"/>
      <c r="C42" s="239"/>
      <c r="D42" s="239"/>
      <c r="E42" s="239"/>
      <c r="F42" s="239"/>
      <c r="G42" s="239"/>
      <c r="H42" s="239"/>
      <c r="I42" s="239"/>
      <c r="J42" s="239"/>
      <c r="K42" s="239"/>
    </row>
    <row r="43" spans="2:11" x14ac:dyDescent="0.25">
      <c r="B43" s="239"/>
      <c r="C43" s="239"/>
      <c r="D43" s="239"/>
      <c r="E43" s="239"/>
      <c r="F43" s="239"/>
      <c r="G43" s="239"/>
      <c r="H43" s="239"/>
      <c r="I43" s="239"/>
      <c r="J43" s="239"/>
      <c r="K43" s="239"/>
    </row>
    <row r="44" spans="2:11" x14ac:dyDescent="0.25">
      <c r="B44" s="239"/>
      <c r="C44" s="239"/>
      <c r="D44" s="239"/>
      <c r="E44" s="239"/>
      <c r="F44" s="239"/>
      <c r="G44" s="239"/>
      <c r="H44" s="239"/>
      <c r="I44" s="239"/>
      <c r="J44" s="239"/>
      <c r="K44" s="239"/>
    </row>
    <row r="45" spans="2:11" x14ac:dyDescent="0.25">
      <c r="B45" s="239"/>
      <c r="C45" s="239"/>
      <c r="D45" s="239"/>
      <c r="E45" s="239"/>
      <c r="F45" s="239"/>
      <c r="G45" s="239"/>
      <c r="H45" s="239"/>
      <c r="I45" s="239"/>
      <c r="J45" s="239"/>
      <c r="K45" s="239"/>
    </row>
    <row r="46" spans="2:11" x14ac:dyDescent="0.25">
      <c r="B46" s="239"/>
      <c r="C46" s="239"/>
      <c r="D46" s="239"/>
      <c r="E46" s="239"/>
      <c r="F46" s="239"/>
      <c r="G46" s="239"/>
      <c r="H46" s="239"/>
      <c r="I46" s="239"/>
      <c r="J46" s="239"/>
      <c r="K46" s="239"/>
    </row>
    <row r="47" spans="2:11" x14ac:dyDescent="0.25">
      <c r="B47" s="239"/>
      <c r="C47" s="239"/>
      <c r="D47" s="239"/>
      <c r="E47" s="239"/>
      <c r="F47" s="239"/>
      <c r="G47" s="239"/>
      <c r="H47" s="239"/>
      <c r="I47" s="239"/>
      <c r="J47" s="239"/>
      <c r="K47" s="239"/>
    </row>
    <row r="48" spans="2:11" x14ac:dyDescent="0.25">
      <c r="B48" s="239"/>
      <c r="C48" s="239"/>
      <c r="D48" s="239"/>
      <c r="E48" s="239"/>
      <c r="F48" s="239"/>
      <c r="G48" s="239"/>
      <c r="H48" s="239"/>
      <c r="I48" s="239"/>
      <c r="J48" s="239"/>
      <c r="K48" s="239"/>
    </row>
    <row r="49" spans="2:11" x14ac:dyDescent="0.25">
      <c r="B49" s="239"/>
      <c r="C49" s="239"/>
      <c r="D49" s="239"/>
      <c r="E49" s="239"/>
      <c r="F49" s="239"/>
      <c r="G49" s="239"/>
      <c r="H49" s="239"/>
      <c r="I49" s="239"/>
      <c r="J49" s="239"/>
      <c r="K49" s="239"/>
    </row>
    <row r="50" spans="2:11" x14ac:dyDescent="0.25">
      <c r="B50" s="239"/>
      <c r="C50" s="239"/>
      <c r="D50" s="239"/>
      <c r="E50" s="239"/>
      <c r="F50" s="239"/>
      <c r="G50" s="239"/>
      <c r="H50" s="239"/>
      <c r="I50" s="239"/>
      <c r="J50" s="239"/>
      <c r="K50" s="239"/>
    </row>
    <row r="51" spans="2:11" x14ac:dyDescent="0.25">
      <c r="B51" s="239"/>
      <c r="C51" s="239"/>
      <c r="D51" s="239"/>
      <c r="E51" s="239"/>
      <c r="F51" s="239"/>
      <c r="G51" s="239"/>
      <c r="H51" s="239"/>
      <c r="I51" s="239"/>
      <c r="J51" s="239"/>
      <c r="K51" s="239"/>
    </row>
    <row r="52" spans="2:11" x14ac:dyDescent="0.25">
      <c r="B52" s="239"/>
      <c r="C52" s="239"/>
      <c r="D52" s="239"/>
      <c r="E52" s="239"/>
      <c r="F52" s="239"/>
      <c r="G52" s="239"/>
      <c r="H52" s="239"/>
      <c r="I52" s="239"/>
      <c r="J52" s="239"/>
      <c r="K52" s="239"/>
    </row>
    <row r="53" spans="2:11" x14ac:dyDescent="0.25">
      <c r="B53" s="239"/>
      <c r="C53" s="239"/>
      <c r="D53" s="239"/>
      <c r="E53" s="239"/>
      <c r="F53" s="239"/>
      <c r="G53" s="239"/>
      <c r="H53" s="239"/>
      <c r="I53" s="239"/>
      <c r="J53" s="239"/>
      <c r="K53" s="239"/>
    </row>
    <row r="54" spans="2:11" x14ac:dyDescent="0.25">
      <c r="B54" s="239"/>
      <c r="C54" s="239"/>
      <c r="D54" s="239"/>
      <c r="E54" s="239"/>
      <c r="F54" s="239"/>
      <c r="G54" s="239"/>
      <c r="H54" s="239"/>
      <c r="I54" s="239"/>
      <c r="J54" s="239"/>
      <c r="K54" s="239"/>
    </row>
    <row r="55" spans="2:11" x14ac:dyDescent="0.25">
      <c r="B55" s="239"/>
      <c r="C55" s="239"/>
      <c r="D55" s="239"/>
      <c r="E55" s="239"/>
      <c r="F55" s="239"/>
      <c r="G55" s="239"/>
      <c r="H55" s="239"/>
      <c r="I55" s="239"/>
      <c r="J55" s="239"/>
      <c r="K55" s="239"/>
    </row>
    <row r="56" spans="2:11" x14ac:dyDescent="0.25">
      <c r="B56" s="239"/>
      <c r="C56" s="239"/>
      <c r="D56" s="239"/>
      <c r="E56" s="239"/>
      <c r="F56" s="239"/>
      <c r="G56" s="239"/>
      <c r="H56" s="239"/>
      <c r="I56" s="239"/>
      <c r="J56" s="239"/>
      <c r="K56" s="239"/>
    </row>
    <row r="57" spans="2:11" x14ac:dyDescent="0.25">
      <c r="B57" s="239"/>
      <c r="C57" s="239"/>
      <c r="D57" s="239"/>
      <c r="E57" s="239"/>
      <c r="F57" s="239"/>
      <c r="G57" s="239"/>
      <c r="H57" s="239"/>
      <c r="I57" s="239"/>
      <c r="J57" s="239"/>
      <c r="K57" s="239"/>
    </row>
    <row r="58" spans="2:11" x14ac:dyDescent="0.25">
      <c r="B58" s="239"/>
      <c r="C58" s="239"/>
      <c r="D58" s="239"/>
      <c r="E58" s="239"/>
      <c r="F58" s="239"/>
      <c r="G58" s="239"/>
      <c r="H58" s="239"/>
      <c r="I58" s="239"/>
      <c r="J58" s="239"/>
      <c r="K58" s="239"/>
    </row>
    <row r="59" spans="2:11" x14ac:dyDescent="0.25">
      <c r="B59" s="239"/>
      <c r="C59" s="239"/>
      <c r="D59" s="239"/>
      <c r="E59" s="239"/>
      <c r="F59" s="239"/>
      <c r="G59" s="239"/>
      <c r="H59" s="239"/>
      <c r="I59" s="239"/>
      <c r="J59" s="239"/>
      <c r="K59" s="239"/>
    </row>
    <row r="60" spans="2:11" x14ac:dyDescent="0.25">
      <c r="B60" s="239"/>
      <c r="C60" s="239"/>
      <c r="D60" s="239"/>
      <c r="E60" s="239"/>
      <c r="F60" s="239"/>
      <c r="G60" s="239"/>
      <c r="H60" s="239"/>
      <c r="I60" s="239"/>
      <c r="J60" s="239"/>
      <c r="K60" s="239"/>
    </row>
    <row r="61" spans="2:11" x14ac:dyDescent="0.25">
      <c r="B61" s="239"/>
      <c r="C61" s="239"/>
      <c r="D61" s="239"/>
      <c r="E61" s="239"/>
      <c r="F61" s="239"/>
      <c r="G61" s="239"/>
      <c r="H61" s="239"/>
      <c r="I61" s="239"/>
      <c r="J61" s="239"/>
      <c r="K61" s="239"/>
    </row>
    <row r="62" spans="2:11" x14ac:dyDescent="0.25">
      <c r="B62" s="239"/>
      <c r="C62" s="239"/>
      <c r="D62" s="239"/>
      <c r="E62" s="239"/>
      <c r="F62" s="239"/>
      <c r="G62" s="239"/>
      <c r="H62" s="239"/>
      <c r="I62" s="239"/>
      <c r="J62" s="239"/>
      <c r="K62" s="239"/>
    </row>
    <row r="63" spans="2:11" x14ac:dyDescent="0.25">
      <c r="B63" s="239"/>
      <c r="C63" s="239"/>
      <c r="D63" s="239"/>
      <c r="E63" s="239"/>
      <c r="F63" s="239"/>
      <c r="G63" s="239"/>
      <c r="H63" s="239"/>
      <c r="I63" s="239"/>
      <c r="J63" s="239"/>
      <c r="K63" s="239"/>
    </row>
    <row r="64" spans="2:11" x14ac:dyDescent="0.25">
      <c r="B64" s="239"/>
      <c r="C64" s="239"/>
      <c r="D64" s="239"/>
      <c r="E64" s="239"/>
      <c r="F64" s="239"/>
      <c r="G64" s="239"/>
      <c r="H64" s="239"/>
      <c r="I64" s="239"/>
      <c r="J64" s="239"/>
      <c r="K64" s="239"/>
    </row>
    <row r="65" spans="2:11" x14ac:dyDescent="0.25">
      <c r="B65" s="239"/>
      <c r="C65" s="239"/>
      <c r="D65" s="239"/>
      <c r="E65" s="239"/>
      <c r="F65" s="239"/>
      <c r="G65" s="239"/>
      <c r="H65" s="239"/>
      <c r="I65" s="239"/>
      <c r="J65" s="239"/>
      <c r="K65" s="239"/>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s="5" t="s">
        <v>37</v>
      </c>
    </row>
    <row r="3" spans="1:12" x14ac:dyDescent="0.25">
      <c r="A3" t="s">
        <v>652</v>
      </c>
      <c r="B3" t="s">
        <v>684</v>
      </c>
      <c r="C3" t="s">
        <v>650</v>
      </c>
      <c r="D3" t="s">
        <v>665</v>
      </c>
      <c r="E3" t="s">
        <v>9</v>
      </c>
      <c r="G3" t="s">
        <v>13</v>
      </c>
      <c r="H3" t="s">
        <v>28</v>
      </c>
      <c r="I3" t="s">
        <v>18</v>
      </c>
      <c r="K3" t="s">
        <v>9</v>
      </c>
      <c r="L3" s="5"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s="5"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s="5" t="s">
        <v>44</v>
      </c>
    </row>
    <row r="10" spans="1:12" x14ac:dyDescent="0.25">
      <c r="C10" t="s">
        <v>676</v>
      </c>
      <c r="D10" t="s">
        <v>671</v>
      </c>
      <c r="G10" s="42">
        <f ca="1">(YEAR(TODAY())-1)</f>
        <v>2022</v>
      </c>
      <c r="L10" s="5" t="s">
        <v>45</v>
      </c>
    </row>
    <row r="11" spans="1:12" x14ac:dyDescent="0.25">
      <c r="C11" t="s">
        <v>677</v>
      </c>
      <c r="F11" t="s">
        <v>628</v>
      </c>
      <c r="L11" s="5" t="s">
        <v>46</v>
      </c>
    </row>
    <row r="12" spans="1:12" x14ac:dyDescent="0.25">
      <c r="C12" t="s">
        <v>691</v>
      </c>
      <c r="F12" t="s">
        <v>629</v>
      </c>
      <c r="L12" s="5"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D8004"/>
  <sheetViews>
    <sheetView zoomScale="96" zoomScaleNormal="96" workbookViewId="0">
      <pane ySplit="4" topLeftCell="A5" activePane="bottomLeft" state="frozen"/>
      <selection pane="bottomLeft" activeCell="P6" sqref="P6"/>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8.599999999999994"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c r="B5" s="34"/>
      <c r="C5" s="33"/>
      <c r="D5" s="33"/>
      <c r="E5" s="33"/>
      <c r="F5" s="33"/>
      <c r="G5" s="33"/>
      <c r="H5" s="33"/>
      <c r="I5" s="8"/>
      <c r="J5" s="33"/>
      <c r="K5" s="33"/>
      <c r="L5" s="33"/>
      <c r="M5" s="35"/>
      <c r="N5" s="33"/>
      <c r="O5" s="35"/>
      <c r="P5" s="34"/>
      <c r="Q5" s="39" t="str">
        <f t="shared" ref="Q5:Q12" ca="1" si="0">IF(B5&gt;1/1/1900, (IF(R5="Closed",(DATEDIF(B5,P5,"d"))-(DATEDIF(M5,O5,"d")),IF(OR(R5="Pending",ISBLANK(P5)),TODAY()-B5))),"-")</f>
        <v>-</v>
      </c>
      <c r="R5" s="33"/>
      <c r="S5" s="33"/>
      <c r="T5" s="33"/>
      <c r="U5" s="8"/>
      <c r="V5" s="33"/>
      <c r="W5" s="8"/>
      <c r="X5" s="8"/>
      <c r="Y5" s="8"/>
      <c r="Z5" s="33"/>
      <c r="AA5" s="33"/>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ref="Q13:Q69" ca="1" si="1">IF(B13&gt;1/1/1900, (IF(R13="Closed",(DATEDIF(B13,P13,"d"))-(DATEDIF(M13,O13,"d")),IF(OR(R13="Pending",ISBLANK(P13)),TODAY()-B13))),"-")</f>
        <v>-</v>
      </c>
      <c r="R13" s="8"/>
      <c r="S13" s="8"/>
      <c r="T13" s="8"/>
      <c r="U13" s="8"/>
      <c r="V13" s="8"/>
      <c r="W13" s="8" t="str">
        <f t="shared" ref="W13:W68" si="2">IF(OR(ISBLANK(J13),ISBLANK(V13)),"-",(IF(J13=V13,"Yes","No")))</f>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1"/>
        <v>-</v>
      </c>
      <c r="R14" s="9"/>
      <c r="S14" s="9"/>
      <c r="T14" s="9"/>
      <c r="U14" s="9"/>
      <c r="V14" s="9"/>
      <c r="W14" s="9" t="str">
        <f t="shared" si="2"/>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1"/>
        <v>-</v>
      </c>
      <c r="R15" s="8"/>
      <c r="S15" s="8"/>
      <c r="T15" s="8"/>
      <c r="U15" s="8"/>
      <c r="V15" s="8"/>
      <c r="W15" s="8" t="str">
        <f t="shared" si="2"/>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1"/>
        <v>-</v>
      </c>
      <c r="R16" s="9"/>
      <c r="S16" s="9"/>
      <c r="T16" s="9"/>
      <c r="U16" s="9"/>
      <c r="V16" s="9"/>
      <c r="W16" s="9" t="str">
        <f t="shared" si="2"/>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Select from list." sqref="D5:D8004">
      <formula1>"White, Black, Asian, Am. Indian, Native Hawaiian/Pacific Islander, Two or More Races, Other, Unknown"</formula1>
    </dataValidation>
    <dataValidation type="list" allowBlank="1" showInputMessage="1" showErrorMessage="1" prompt="Select from list." sqref="H5:H8004 E5:E8004">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whole" operator="greaterThan" allowBlank="1" showInputMessage="1" showErrorMessage="1" prompt="Select from list." sqref="I5:I8004">
      <formula1>0</formula1>
    </dataValidation>
    <dataValidation type="list" allowBlank="1" showInputMessage="1" showErrorMessage="1" prompt="Select from list." sqref="G5:G8004">
      <formula1>"White, Black, Asian, Am. Indian, Native Hawaiian/Pacific Islander,Two or More Races, Other, Unknown"</formula1>
    </dataValidation>
    <dataValidation allowBlank="1" showInputMessage="1" showErrorMessage="1" prompt="One officer per row!_x000a_" sqref="C5:C800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allowBlank="1" showInputMessage="1" showErrorMessage="1" prompt="This is a calculated field; please do not enter data." sqref="Q5:Q7984"/>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prompt="Select from list.">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D8004"/>
  <sheetViews>
    <sheetView topLeftCell="K1" zoomScale="96" zoomScaleNormal="96" workbookViewId="0">
      <pane ySplit="4" topLeftCell="A5" activePane="bottomLeft" state="frozen"/>
      <selection pane="bottomLeft" activeCell="P7" sqref="P7"/>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3.150000000000006"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c r="B5" s="34"/>
      <c r="C5" s="33"/>
      <c r="D5" s="33"/>
      <c r="E5" s="33"/>
      <c r="F5" s="33"/>
      <c r="G5" s="33"/>
      <c r="H5" s="33"/>
      <c r="I5" s="8"/>
      <c r="J5" s="33"/>
      <c r="K5" s="33"/>
      <c r="L5" s="33"/>
      <c r="M5" s="35"/>
      <c r="N5" s="33"/>
      <c r="O5" s="35"/>
      <c r="P5" s="34"/>
      <c r="Q5" s="39" t="str">
        <f t="shared" ref="Q5:Q15" ca="1" si="0">IF(B5&gt;1/1/1900, (IF(R5="Closed",(DATEDIF(B5,P5,"d"))-(DATEDIF(M5,O5,"d")),IF(OR(R5="Pending",ISBLANK(P5)),TODAY()-B5))),"-")</f>
        <v>-</v>
      </c>
      <c r="R5" s="33"/>
      <c r="S5" s="33"/>
      <c r="T5" s="33"/>
      <c r="U5" s="8"/>
      <c r="V5" s="33"/>
      <c r="W5" s="8"/>
      <c r="X5" s="8"/>
      <c r="Y5" s="8"/>
      <c r="Z5" s="33"/>
      <c r="AA5" s="33"/>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ref="Q16:Q69" ca="1" si="1">IF(B16&gt;1/1/1900, (IF(R16="Closed",(DATEDIF(B16,P16,"d"))-(DATEDIF(M16,O16,"d")),IF(OR(R16="Pending",ISBLANK(P16)),TODAY()-B16))),"-")</f>
        <v>-</v>
      </c>
      <c r="R16" s="9"/>
      <c r="S16" s="9"/>
      <c r="T16" s="9"/>
      <c r="U16" s="9"/>
      <c r="V16" s="9"/>
      <c r="W16" s="9" t="str">
        <f t="shared" ref="W16:W68" si="2">IF(OR(ISBLANK(J16),ISBLANK(V16)),"-",(IF(J16=V16,"Yes","No")))</f>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 allowBlank="1" showInputMessage="1" showErrorMessage="1" prompt="This is a calculated field; please do not enter data." sqref="Q5:Q798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allowBlank="1" showInputMessage="1" showErrorMessage="1" prompt="One officer per row!_x000a_" sqref="C5:C8004"/>
    <dataValidation type="list" allowBlank="1" showInputMessage="1" showErrorMessage="1" prompt="Select from list." sqref="G5:G8004">
      <formula1>"White, Black, Asian, Am. Indian, Native Hawaiian/Pacific Islander,Two or More Races, Other, Unknown"</formula1>
    </dataValidation>
    <dataValidation type="whole" operator="greaterThan" allowBlank="1" showInputMessage="1" showErrorMessage="1" prompt="Select from list." sqref="I5:I8004">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list" allowBlank="1" showInputMessage="1" showErrorMessage="1" prompt="Select from list." sqref="H5:H8004 E5:E8004">
      <formula1>"Hispanic or Latino, Not Hispanic or Latino"</formula1>
    </dataValidation>
    <dataValidation type="list" allowBlank="1" showInputMessage="1" showErrorMessage="1" prompt="Select from list." sqref="D5:D8004">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list" allowBlank="1" showInputMessage="1" showErrorMessage="1" prompt="Select from list. " sqref="N5:N8004">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Enter the case as either &quot;Pending&quot; or &quot;Closed&quot;" prompt="Select from list.">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79998168889431442"/>
    <pageSetUpPr fitToPage="1"/>
  </sheetPr>
  <dimension ref="A2:AE307"/>
  <sheetViews>
    <sheetView view="pageBreakPreview" topLeftCell="A6" zoomScale="78" zoomScaleNormal="100" zoomScaleSheetLayoutView="78" zoomScalePageLayoutView="60" workbookViewId="0">
      <selection activeCell="F11" sqref="F1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743</v>
      </c>
      <c r="C8" s="292" t="str">
        <f>$B$8&amp;" Internal Affairs Summary"</f>
        <v>Q1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44562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44651</v>
      </c>
      <c r="C10" s="347" t="str">
        <f>"Internal Affairs: "&amp;$B$8&amp;" Snapshot"</f>
        <v>Internal Affairs: Q1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Q1.</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si="0"/>
        <v>0</v>
      </c>
      <c r="G17" s="274"/>
      <c r="H17" s="303">
        <f t="shared" si="1"/>
        <v>0</v>
      </c>
      <c r="I17" s="303"/>
      <c r="J17" s="303">
        <f t="shared" si="2"/>
        <v>0</v>
      </c>
      <c r="K17" s="303"/>
      <c r="L17" s="303">
        <f t="shared" si="3"/>
        <v>0</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0</v>
      </c>
      <c r="G24" s="272"/>
      <c r="H24" s="301">
        <f t="shared" si="1"/>
        <v>0</v>
      </c>
      <c r="I24" s="301"/>
      <c r="J24" s="301">
        <f t="shared" si="2"/>
        <v>0</v>
      </c>
      <c r="K24" s="301"/>
      <c r="L24" s="301">
        <f t="shared" si="3"/>
        <v>0</v>
      </c>
      <c r="M24" s="301"/>
    </row>
    <row r="25" spans="3:16" ht="18.75" x14ac:dyDescent="0.3">
      <c r="C25" s="132"/>
      <c r="D25" s="132"/>
      <c r="E25" s="165" t="s">
        <v>615</v>
      </c>
      <c r="F25" s="308">
        <f>SUM(F16:F24)</f>
        <v>0</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Q1</v>
      </c>
      <c r="G28" s="293"/>
      <c r="H28" s="293"/>
      <c r="I28" s="293"/>
      <c r="J28" s="293"/>
      <c r="K28" s="293"/>
      <c r="L28" s="185"/>
      <c r="M28" s="184"/>
      <c r="N28" s="184"/>
      <c r="O28" s="184"/>
      <c r="P28" s="184"/>
    </row>
    <row r="29" spans="3:16" ht="18.75" x14ac:dyDescent="0.3">
      <c r="F29" s="180"/>
      <c r="G29" s="180"/>
      <c r="H29" s="180"/>
      <c r="I29" s="180"/>
      <c r="J29" s="180"/>
      <c r="K29" s="180"/>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f>COUNTIFS(PendingComplaintSource, J30, PendingCloseDate,"&gt;="&amp;$B$9,PendingCloseDate,"&lt;="&amp;$B$10) + COUNTIFS(OpenedComplaintSource, J30, OpenedCloseDate,"&gt;="&amp;$B$9,OpenedCloseDate,"&lt;="&amp;$B$10)</f>
        <v>0</v>
      </c>
      <c r="K31" s="299"/>
      <c r="L31" s="184"/>
      <c r="M31" s="184"/>
      <c r="N31" s="184"/>
      <c r="O31" s="184"/>
      <c r="P31" s="184"/>
    </row>
    <row r="32" spans="3:16" ht="18.75" x14ac:dyDescent="0.3">
      <c r="E32" s="228" t="s">
        <v>711</v>
      </c>
      <c r="F32" s="304" t="str">
        <f t="shared" ref="F32" si="5">IF(SUM($F31:$J31)=0, "", F31/SUM($F31:$J31))</f>
        <v/>
      </c>
      <c r="G32" s="305"/>
      <c r="H32" s="306" t="str">
        <f t="shared" ref="H32" si="6">IF(SUM($F31:$J31)=0, "", H31/SUM($F31:$J31))</f>
        <v/>
      </c>
      <c r="I32" s="306"/>
      <c r="J32" s="305" t="str">
        <f>IF(SUM($F31:$J31)=0, "", J31/SUM($F31:$J31))</f>
        <v/>
      </c>
      <c r="K32" s="307"/>
    </row>
    <row r="33" spans="1:17" ht="15.75" thickBot="1" x14ac:dyDescent="0.3"/>
    <row r="34" spans="1:17" ht="36.75" customHeight="1" x14ac:dyDescent="0.3">
      <c r="C34" s="268" t="str">
        <f>"Frequency of discipline by type for complaints closed in "&amp;$B$8</f>
        <v>Frequency of discipline by type for complaints closed in Q1</v>
      </c>
      <c r="D34" s="268"/>
      <c r="E34" s="268"/>
      <c r="F34" s="268"/>
      <c r="G34" s="180"/>
      <c r="I34" s="252" t="str">
        <f>$B$8&amp;" Summary"</f>
        <v>Q1 Summary</v>
      </c>
      <c r="J34" s="252"/>
      <c r="K34" s="252"/>
      <c r="M34" s="283" t="s">
        <v>625</v>
      </c>
      <c r="N34" s="284"/>
      <c r="O34" s="284"/>
      <c r="P34" s="285"/>
    </row>
    <row r="35" spans="1:17" ht="18.75" customHeight="1" x14ac:dyDescent="0.3">
      <c r="B35" s="125"/>
      <c r="C35" s="125"/>
      <c r="D35" s="125"/>
      <c r="E35" s="181"/>
      <c r="F35" s="162" t="s">
        <v>663</v>
      </c>
      <c r="G35" s="181">
        <f t="shared" ref="G35:G44"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169"/>
      <c r="F36" s="163" t="s">
        <v>664</v>
      </c>
      <c r="G36" s="169">
        <f t="shared" si="7"/>
        <v>0</v>
      </c>
      <c r="I36" s="279"/>
      <c r="J36" s="280"/>
      <c r="K36" s="282"/>
      <c r="M36" s="286"/>
      <c r="N36" s="287"/>
      <c r="O36" s="287"/>
      <c r="P36" s="288"/>
    </row>
    <row r="37" spans="1:17" ht="18.75" customHeight="1" x14ac:dyDescent="0.3">
      <c r="E37" s="168"/>
      <c r="F37" s="164" t="s">
        <v>665</v>
      </c>
      <c r="G37" s="168">
        <f t="shared" si="7"/>
        <v>0</v>
      </c>
      <c r="I37" s="269" t="s">
        <v>643</v>
      </c>
      <c r="J37" s="270"/>
      <c r="K37" s="211">
        <f>SUM($E$67:$G$67)</f>
        <v>0</v>
      </c>
      <c r="M37" s="286"/>
      <c r="N37" s="287"/>
      <c r="O37" s="287"/>
      <c r="P37" s="288"/>
    </row>
    <row r="38" spans="1:17" ht="18.75" x14ac:dyDescent="0.3">
      <c r="B38" s="117"/>
      <c r="C38" s="117"/>
      <c r="D38" s="117"/>
      <c r="E38" s="169"/>
      <c r="F38" s="163" t="s">
        <v>666</v>
      </c>
      <c r="G38" s="169">
        <f t="shared" si="7"/>
        <v>0</v>
      </c>
      <c r="I38" s="271" t="s">
        <v>622</v>
      </c>
      <c r="J38" s="272"/>
      <c r="K38" s="212">
        <f>$B$82</f>
        <v>0</v>
      </c>
      <c r="M38" s="286"/>
      <c r="N38" s="287"/>
      <c r="O38" s="287"/>
      <c r="P38" s="288"/>
    </row>
    <row r="39" spans="1:17" ht="18.75" x14ac:dyDescent="0.3">
      <c r="E39" s="168"/>
      <c r="F39" s="164" t="s">
        <v>667</v>
      </c>
      <c r="G39" s="168">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169"/>
      <c r="F40" s="163" t="s">
        <v>668</v>
      </c>
      <c r="G40" s="169">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168"/>
      <c r="F41" s="164" t="s">
        <v>693</v>
      </c>
      <c r="G41" s="168">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169"/>
      <c r="F42" s="163" t="s">
        <v>669</v>
      </c>
      <c r="G42" s="169">
        <f t="shared" si="7"/>
        <v>0</v>
      </c>
      <c r="I42" s="279" t="str">
        <f>"Total Pending  at end of "&amp;$B$8</f>
        <v>Total Pending  at end of Q1</v>
      </c>
      <c r="J42" s="280"/>
      <c r="K42" s="282">
        <f>(SUM(K35:K37))-K38</f>
        <v>0</v>
      </c>
      <c r="M42" s="286"/>
      <c r="N42" s="287"/>
      <c r="O42" s="287"/>
      <c r="P42" s="288"/>
    </row>
    <row r="43" spans="1:17" ht="18.75" x14ac:dyDescent="0.3">
      <c r="E43" s="168"/>
      <c r="F43" s="164" t="s">
        <v>670</v>
      </c>
      <c r="G43" s="168">
        <f t="shared" si="7"/>
        <v>0</v>
      </c>
      <c r="I43" s="279"/>
      <c r="J43" s="280"/>
      <c r="K43" s="282"/>
      <c r="M43" s="286"/>
      <c r="N43" s="287"/>
      <c r="O43" s="287"/>
      <c r="P43" s="288"/>
    </row>
    <row r="44" spans="1:17" ht="19.5" thickBot="1" x14ac:dyDescent="0.35">
      <c r="B44" s="117"/>
      <c r="C44" s="117"/>
      <c r="D44" s="117"/>
      <c r="E44" s="169"/>
      <c r="F44" s="163" t="s">
        <v>671</v>
      </c>
      <c r="G44" s="169">
        <f t="shared" si="7"/>
        <v>0</v>
      </c>
      <c r="I44" s="125"/>
      <c r="J44" s="125"/>
      <c r="K44" s="125"/>
      <c r="M44" s="289"/>
      <c r="N44" s="290"/>
      <c r="O44" s="290"/>
      <c r="P44" s="291"/>
    </row>
    <row r="45" spans="1:17" ht="18.75" x14ac:dyDescent="0.3">
      <c r="B45" s="125"/>
      <c r="C45" s="125"/>
      <c r="D45" s="125"/>
      <c r="E45" s="125"/>
      <c r="F45" s="170" t="s">
        <v>615</v>
      </c>
      <c r="G45" s="171">
        <f>SUM(G35:G44)</f>
        <v>0</v>
      </c>
    </row>
    <row r="48" spans="1:17" x14ac:dyDescent="0.25">
      <c r="A48" s="1"/>
      <c r="K48" s="244" t="s">
        <v>33</v>
      </c>
      <c r="L48" s="244"/>
      <c r="M48" s="245" t="str">
        <f>'Start Here'!C$13</f>
        <v>Chesterfield Twp PD, Burlington Co.</v>
      </c>
      <c r="N48" s="245"/>
      <c r="O48" s="245"/>
      <c r="P48" s="245"/>
      <c r="Q48" s="245"/>
    </row>
    <row r="49" spans="1:31" x14ac:dyDescent="0.25">
      <c r="A49" s="1"/>
      <c r="K49" s="244" t="s">
        <v>34</v>
      </c>
      <c r="L49" s="244"/>
      <c r="M49" s="225">
        <f>'Start Here'!$C$16</f>
        <v>2022</v>
      </c>
    </row>
    <row r="50" spans="1:31" x14ac:dyDescent="0.25">
      <c r="K50" s="101"/>
      <c r="L50" s="101"/>
      <c r="M50" s="2"/>
    </row>
    <row r="51" spans="1:31" ht="14.45" customHeight="1" x14ac:dyDescent="0.25">
      <c r="A51" s="142"/>
      <c r="B51" s="142"/>
      <c r="C51" s="142"/>
      <c r="D51" s="142"/>
      <c r="E51" s="142"/>
      <c r="F51" s="142"/>
      <c r="G51" s="142"/>
      <c r="H51" s="142"/>
      <c r="I51" s="142"/>
      <c r="J51" s="142"/>
      <c r="K51" s="142"/>
      <c r="L51" s="142"/>
      <c r="M51" s="142"/>
      <c r="N51" s="142"/>
      <c r="O51" s="142"/>
      <c r="P51" s="142"/>
      <c r="Q51" s="142"/>
    </row>
    <row r="52" spans="1:31" ht="14.45" customHeight="1" x14ac:dyDescent="0.25">
      <c r="A52" s="341" t="str">
        <f>$B$8&amp;": Cases Opened and Closed, All Allegations"</f>
        <v>Q1: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73" t="s">
        <v>713</v>
      </c>
      <c r="B57" s="10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101">
        <f t="shared" si="8"/>
        <v>0</v>
      </c>
      <c r="C60" s="101">
        <f t="shared" si="8"/>
        <v>0</v>
      </c>
      <c r="D60" s="1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101">
        <f t="shared" si="8"/>
        <v>0</v>
      </c>
      <c r="C62" s="101">
        <f t="shared" si="8"/>
        <v>0</v>
      </c>
      <c r="D62" s="1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101">
        <f t="shared" si="8"/>
        <v>0</v>
      </c>
      <c r="C64" s="101">
        <f t="shared" si="8"/>
        <v>0</v>
      </c>
      <c r="D64" s="1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101">
        <f t="shared" si="8"/>
        <v>0</v>
      </c>
      <c r="C66" s="101">
        <f t="shared" si="8"/>
        <v>0</v>
      </c>
      <c r="D66" s="1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07"/>
      <c r="L67" s="107"/>
      <c r="M67" s="107"/>
      <c r="N67" s="107"/>
      <c r="O67" s="107"/>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73" t="s">
        <v>713</v>
      </c>
      <c r="B72" s="75" t="s">
        <v>642</v>
      </c>
      <c r="C72" s="79" t="s">
        <v>731</v>
      </c>
      <c r="D72" s="79" t="s">
        <v>633</v>
      </c>
      <c r="E72" s="80" t="s">
        <v>28</v>
      </c>
      <c r="F72" s="79" t="s">
        <v>27</v>
      </c>
      <c r="G72" s="79" t="s">
        <v>26</v>
      </c>
      <c r="H72" s="81" t="s">
        <v>12</v>
      </c>
      <c r="I72" s="82" t="s">
        <v>13</v>
      </c>
      <c r="J72" s="82" t="s">
        <v>14</v>
      </c>
      <c r="K72" s="83" t="s">
        <v>15</v>
      </c>
      <c r="L72" s="81" t="s">
        <v>16</v>
      </c>
      <c r="M72" s="82" t="s">
        <v>17</v>
      </c>
      <c r="N72" s="82" t="s">
        <v>18</v>
      </c>
      <c r="O72" s="82" t="s">
        <v>31</v>
      </c>
      <c r="AE72" s="7"/>
    </row>
    <row r="73" spans="1:31" x14ac:dyDescent="0.25">
      <c r="A73" s="1" t="s">
        <v>658</v>
      </c>
      <c r="B73" s="74">
        <f t="shared" ref="B73:B81" si="14">COUNTIFS(PendingMSO,$A73,PendingCloseDate,"&gt;="&amp;$B$9,PendingCloseDate,"&lt;="&amp;$B$10) + COUNTIFS(OpenedMSO,$A73,OpenedCloseDate,"&gt;="&amp;$B$9,OpenedCloseDate,"&lt;="&amp;$B$10)</f>
        <v>0</v>
      </c>
      <c r="C73" s="1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101" t="str">
        <f t="shared" si="15"/>
        <v/>
      </c>
      <c r="D75" s="1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101" t="str">
        <f t="shared" si="15"/>
        <v/>
      </c>
      <c r="D77" s="1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101" t="str">
        <f t="shared" si="15"/>
        <v/>
      </c>
      <c r="D79" s="1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101" t="str">
        <f t="shared" si="15"/>
        <v/>
      </c>
      <c r="D81" s="1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77"/>
      <c r="S85" s="77"/>
      <c r="T85" s="77"/>
    </row>
    <row r="86" spans="1:20" ht="14.65" customHeight="1" x14ac:dyDescent="0.35">
      <c r="A86" s="341" t="str">
        <f>$B$8&amp;": Cases Closed, All Allegations"</f>
        <v>Q1: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5">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82"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04">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09">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04">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09">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04">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09">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04">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09">
        <f t="shared" si="26"/>
        <v>0</v>
      </c>
    </row>
    <row r="100" spans="1:19" x14ac:dyDescent="0.25">
      <c r="A100" s="59" t="s">
        <v>657</v>
      </c>
      <c r="B100" s="343">
        <f t="shared" si="24"/>
        <v>0</v>
      </c>
      <c r="C100" s="344"/>
      <c r="D100" s="100">
        <f t="shared" si="25"/>
        <v>0</v>
      </c>
      <c r="E100" s="100">
        <f t="shared" si="25"/>
        <v>0</v>
      </c>
      <c r="F100" s="100">
        <f t="shared" si="25"/>
        <v>0</v>
      </c>
      <c r="G100" s="100">
        <f t="shared" si="25"/>
        <v>0</v>
      </c>
      <c r="H100" s="100">
        <f t="shared" si="25"/>
        <v>0</v>
      </c>
      <c r="I100" s="100">
        <f t="shared" si="25"/>
        <v>0</v>
      </c>
      <c r="J100" s="100">
        <f t="shared" si="25"/>
        <v>0</v>
      </c>
      <c r="K100" s="100">
        <f t="shared" si="25"/>
        <v>0</v>
      </c>
      <c r="L100" s="58">
        <f t="shared" si="25"/>
        <v>0</v>
      </c>
      <c r="M100" s="108">
        <f t="shared" si="26"/>
        <v>0</v>
      </c>
    </row>
    <row r="101" spans="1:19" x14ac:dyDescent="0.25">
      <c r="A101" s="48" t="s">
        <v>615</v>
      </c>
      <c r="B101" s="345">
        <f>SUM(B92:C100)</f>
        <v>0</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03"/>
      <c r="K107" s="266" t="s">
        <v>637</v>
      </c>
      <c r="L107" s="267"/>
    </row>
    <row r="108" spans="1:19" ht="39" customHeight="1" x14ac:dyDescent="0.25">
      <c r="A108" s="102" t="s">
        <v>736</v>
      </c>
      <c r="B108" s="80" t="s">
        <v>28</v>
      </c>
      <c r="C108" s="79" t="s">
        <v>27</v>
      </c>
      <c r="D108" s="79" t="s">
        <v>26</v>
      </c>
      <c r="E108" s="86" t="s">
        <v>28</v>
      </c>
      <c r="F108" s="87" t="s">
        <v>27</v>
      </c>
      <c r="G108" s="87" t="s">
        <v>26</v>
      </c>
      <c r="H108" s="80" t="s">
        <v>28</v>
      </c>
      <c r="I108" s="79" t="s">
        <v>27</v>
      </c>
      <c r="J108" s="79" t="s">
        <v>26</v>
      </c>
      <c r="K108" s="175" t="s">
        <v>24</v>
      </c>
      <c r="L108" s="176" t="s">
        <v>636</v>
      </c>
      <c r="R108" s="187"/>
      <c r="S108" s="187"/>
    </row>
    <row r="109" spans="1:19" ht="15" customHeight="1" x14ac:dyDescent="0.25">
      <c r="A109" s="98" t="s">
        <v>658</v>
      </c>
      <c r="B109" s="1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01">
        <f t="shared" si="28"/>
        <v>0</v>
      </c>
      <c r="D109" s="1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01">
        <f t="shared" si="32"/>
        <v>0</v>
      </c>
      <c r="J109" s="1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101">
        <f t="shared" si="28"/>
        <v>0</v>
      </c>
      <c r="C111" s="101">
        <f t="shared" si="28"/>
        <v>0</v>
      </c>
      <c r="D111" s="101">
        <f t="shared" si="28"/>
        <v>0</v>
      </c>
      <c r="E111" s="57" t="str">
        <f t="shared" si="29"/>
        <v/>
      </c>
      <c r="F111" s="45" t="str">
        <f t="shared" si="30"/>
        <v/>
      </c>
      <c r="G111" s="45" t="str">
        <f t="shared" si="31"/>
        <v/>
      </c>
      <c r="H111" s="57">
        <f t="shared" si="32"/>
        <v>0</v>
      </c>
      <c r="I111" s="101">
        <f t="shared" si="32"/>
        <v>0</v>
      </c>
      <c r="J111" s="101">
        <f t="shared" si="32"/>
        <v>0</v>
      </c>
      <c r="K111" s="57" t="str">
        <f t="shared" si="33"/>
        <v/>
      </c>
      <c r="L111" s="172"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101">
        <f t="shared" si="28"/>
        <v>0</v>
      </c>
      <c r="C113" s="101">
        <f t="shared" si="28"/>
        <v>0</v>
      </c>
      <c r="D113" s="101">
        <f t="shared" si="28"/>
        <v>0</v>
      </c>
      <c r="E113" s="57" t="str">
        <f t="shared" si="29"/>
        <v/>
      </c>
      <c r="F113" s="45" t="str">
        <f t="shared" si="30"/>
        <v/>
      </c>
      <c r="G113" s="45" t="str">
        <f t="shared" si="31"/>
        <v/>
      </c>
      <c r="H113" s="57">
        <f t="shared" si="32"/>
        <v>0</v>
      </c>
      <c r="I113" s="101">
        <f t="shared" si="32"/>
        <v>0</v>
      </c>
      <c r="J113" s="101">
        <f t="shared" si="32"/>
        <v>0</v>
      </c>
      <c r="K113" s="57" t="str">
        <f t="shared" si="33"/>
        <v/>
      </c>
      <c r="L113" s="172"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101">
        <f t="shared" si="28"/>
        <v>0</v>
      </c>
      <c r="C115" s="101">
        <f t="shared" si="28"/>
        <v>0</v>
      </c>
      <c r="D115" s="101">
        <f t="shared" si="28"/>
        <v>0</v>
      </c>
      <c r="E115" s="57" t="str">
        <f t="shared" si="29"/>
        <v/>
      </c>
      <c r="F115" s="45" t="str">
        <f t="shared" si="30"/>
        <v/>
      </c>
      <c r="G115" s="45" t="str">
        <f t="shared" si="31"/>
        <v/>
      </c>
      <c r="H115" s="57">
        <f t="shared" si="32"/>
        <v>0</v>
      </c>
      <c r="I115" s="101">
        <f t="shared" si="32"/>
        <v>0</v>
      </c>
      <c r="J115" s="101">
        <f t="shared" si="32"/>
        <v>0</v>
      </c>
      <c r="K115" s="57" t="str">
        <f t="shared" si="33"/>
        <v/>
      </c>
      <c r="L115" s="172"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101">
        <f t="shared" si="28"/>
        <v>0</v>
      </c>
      <c r="C117" s="101">
        <f t="shared" si="28"/>
        <v>0</v>
      </c>
      <c r="D117" s="101">
        <f t="shared" si="28"/>
        <v>0</v>
      </c>
      <c r="E117" s="88" t="str">
        <f t="shared" si="29"/>
        <v/>
      </c>
      <c r="F117" s="100" t="str">
        <f t="shared" si="30"/>
        <v/>
      </c>
      <c r="G117" s="100" t="str">
        <f t="shared" si="31"/>
        <v/>
      </c>
      <c r="H117" s="57">
        <f t="shared" si="32"/>
        <v>0</v>
      </c>
      <c r="I117" s="101">
        <f t="shared" si="32"/>
        <v>0</v>
      </c>
      <c r="J117" s="101">
        <f t="shared" si="32"/>
        <v>0</v>
      </c>
      <c r="K117" s="57" t="str">
        <f t="shared" si="33"/>
        <v/>
      </c>
      <c r="L117" s="172"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Q1: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5">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0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101">
        <f t="shared" si="37"/>
        <v>0</v>
      </c>
      <c r="E128" s="1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101">
        <f t="shared" si="37"/>
        <v>0</v>
      </c>
      <c r="E130" s="1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101">
        <f t="shared" si="37"/>
        <v>0</v>
      </c>
      <c r="E132" s="1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101">
        <f t="shared" si="37"/>
        <v>0</v>
      </c>
      <c r="E134" s="1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101">
        <f t="shared" si="37"/>
        <v>0</v>
      </c>
      <c r="E136" s="101">
        <f t="shared" si="38"/>
        <v>0</v>
      </c>
      <c r="F136" s="78">
        <f t="shared" si="39"/>
        <v>0</v>
      </c>
      <c r="G136" s="101">
        <f t="shared" si="40"/>
        <v>0</v>
      </c>
      <c r="H136" s="1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101">
        <f t="shared" si="37"/>
        <v>0</v>
      </c>
      <c r="E138" s="101">
        <f t="shared" si="38"/>
        <v>0</v>
      </c>
      <c r="F138" s="78">
        <f t="shared" si="39"/>
        <v>0</v>
      </c>
      <c r="G138" s="101">
        <f t="shared" si="40"/>
        <v>0</v>
      </c>
      <c r="H138" s="1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101">
        <f t="shared" si="37"/>
        <v>0</v>
      </c>
      <c r="E140" s="101">
        <f t="shared" si="38"/>
        <v>0</v>
      </c>
      <c r="F140" s="78">
        <f t="shared" si="39"/>
        <v>0</v>
      </c>
      <c r="G140" s="101">
        <f t="shared" si="40"/>
        <v>0</v>
      </c>
      <c r="H140" s="1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07"/>
      <c r="P143" s="107"/>
      <c r="Q143" s="107"/>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82" t="s">
        <v>13</v>
      </c>
      <c r="L146" s="82" t="s">
        <v>14</v>
      </c>
      <c r="M146" s="83" t="s">
        <v>15</v>
      </c>
      <c r="N146" s="81" t="s">
        <v>16</v>
      </c>
      <c r="O146" s="82" t="s">
        <v>17</v>
      </c>
      <c r="P146" s="82" t="s">
        <v>18</v>
      </c>
      <c r="Q146" s="82"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1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1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1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1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1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101">
        <f t="shared" si="48"/>
        <v>0</v>
      </c>
      <c r="E157" t="str">
        <f t="shared" si="49"/>
        <v/>
      </c>
      <c r="F157" s="78">
        <f t="shared" si="50"/>
        <v>0</v>
      </c>
      <c r="G157" s="101">
        <f t="shared" si="51"/>
        <v>0</v>
      </c>
      <c r="H157" s="101">
        <f t="shared" si="52"/>
        <v>0</v>
      </c>
      <c r="I157" s="78">
        <f t="shared" si="53"/>
        <v>0</v>
      </c>
      <c r="J157" s="101">
        <f t="shared" si="54"/>
        <v>0</v>
      </c>
      <c r="K157" s="101">
        <f t="shared" si="55"/>
        <v>0</v>
      </c>
      <c r="L157" s="101">
        <f t="shared" si="56"/>
        <v>0</v>
      </c>
      <c r="M157" s="78">
        <f t="shared" si="57"/>
        <v>0</v>
      </c>
      <c r="N157" s="101">
        <f t="shared" si="58"/>
        <v>0</v>
      </c>
      <c r="O157" s="101">
        <f t="shared" si="59"/>
        <v>0</v>
      </c>
      <c r="P157" s="101">
        <f t="shared" si="60"/>
        <v>0</v>
      </c>
      <c r="Q157" s="1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101">
        <f t="shared" si="48"/>
        <v>0</v>
      </c>
      <c r="E159" t="str">
        <f t="shared" si="49"/>
        <v/>
      </c>
      <c r="F159" s="78">
        <f t="shared" si="50"/>
        <v>0</v>
      </c>
      <c r="G159" s="101">
        <f t="shared" si="51"/>
        <v>0</v>
      </c>
      <c r="H159" s="101">
        <f t="shared" si="52"/>
        <v>0</v>
      </c>
      <c r="I159" s="78">
        <f t="shared" si="53"/>
        <v>0</v>
      </c>
      <c r="J159" s="101">
        <f t="shared" si="54"/>
        <v>0</v>
      </c>
      <c r="K159" s="101">
        <f t="shared" si="55"/>
        <v>0</v>
      </c>
      <c r="L159" s="101">
        <f t="shared" si="56"/>
        <v>0</v>
      </c>
      <c r="M159" s="78">
        <f t="shared" si="57"/>
        <v>0</v>
      </c>
      <c r="N159" s="101">
        <f t="shared" si="58"/>
        <v>0</v>
      </c>
      <c r="O159" s="101">
        <f t="shared" si="59"/>
        <v>0</v>
      </c>
      <c r="P159" s="101">
        <f t="shared" si="60"/>
        <v>0</v>
      </c>
      <c r="Q159" s="1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101">
        <f t="shared" si="48"/>
        <v>0</v>
      </c>
      <c r="E161" t="str">
        <f t="shared" si="49"/>
        <v/>
      </c>
      <c r="F161" s="78">
        <f t="shared" si="50"/>
        <v>0</v>
      </c>
      <c r="G161" s="101">
        <f t="shared" si="51"/>
        <v>0</v>
      </c>
      <c r="H161" s="101">
        <f t="shared" si="52"/>
        <v>0</v>
      </c>
      <c r="I161" s="78">
        <f t="shared" si="53"/>
        <v>0</v>
      </c>
      <c r="J161" s="101">
        <f t="shared" si="54"/>
        <v>0</v>
      </c>
      <c r="K161" s="101">
        <f t="shared" si="55"/>
        <v>0</v>
      </c>
      <c r="L161" s="101">
        <f t="shared" si="56"/>
        <v>0</v>
      </c>
      <c r="M161" s="78">
        <f t="shared" si="57"/>
        <v>0</v>
      </c>
      <c r="N161" s="101">
        <f t="shared" si="58"/>
        <v>0</v>
      </c>
      <c r="O161" s="101">
        <f t="shared" si="59"/>
        <v>0</v>
      </c>
      <c r="P161" s="101">
        <f t="shared" si="60"/>
        <v>0</v>
      </c>
      <c r="Q161" s="1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07"/>
      <c r="E164" s="107"/>
      <c r="F164" s="107"/>
      <c r="G164" s="107"/>
      <c r="H164" s="107"/>
      <c r="I164" s="107"/>
      <c r="J164" s="107"/>
      <c r="K164" s="107"/>
      <c r="L164" s="107"/>
      <c r="M164" s="107"/>
      <c r="N164" s="107"/>
      <c r="O164" s="107"/>
      <c r="P164" s="107"/>
      <c r="Q164" s="107"/>
    </row>
    <row r="165" spans="1:17" x14ac:dyDescent="0.25">
      <c r="A165" s="351" t="str">
        <f>$B$8&amp;": Cases Closed, Alleged Other Rule Violations"</f>
        <v>Q1: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5">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07"/>
      <c r="P187" s="107"/>
      <c r="Q187" s="107"/>
    </row>
    <row r="188" spans="1:17" x14ac:dyDescent="0.25">
      <c r="A188" s="5"/>
      <c r="B188" s="5"/>
      <c r="C188" s="5"/>
      <c r="D188" s="107"/>
      <c r="E188" s="107"/>
      <c r="F188" s="107"/>
      <c r="G188" s="107"/>
      <c r="H188" s="107"/>
      <c r="I188" s="107"/>
      <c r="J188" s="107"/>
      <c r="K188" s="107"/>
      <c r="M188" s="143"/>
      <c r="N188" s="107"/>
      <c r="P188" s="107"/>
      <c r="Q188" s="107"/>
    </row>
    <row r="189" spans="1:17" ht="21" customHeight="1" x14ac:dyDescent="0.25">
      <c r="A189" s="251" t="s">
        <v>722</v>
      </c>
      <c r="B189" s="251"/>
      <c r="C189" s="251"/>
      <c r="D189" s="251"/>
      <c r="E189" s="251"/>
      <c r="F189" s="251"/>
      <c r="G189" s="251"/>
      <c r="H189" s="251"/>
      <c r="I189" s="251"/>
      <c r="J189" s="251"/>
      <c r="K189" s="251"/>
      <c r="L189" s="251"/>
      <c r="M189" s="182"/>
      <c r="N189" s="182"/>
      <c r="O189" s="182"/>
      <c r="Q189" s="107"/>
    </row>
    <row r="190" spans="1:17" ht="40.5" customHeight="1" x14ac:dyDescent="0.25">
      <c r="A190" s="182"/>
      <c r="B190" s="182"/>
      <c r="C190" s="183"/>
      <c r="D190" s="248" t="s">
        <v>723</v>
      </c>
      <c r="E190" s="249"/>
      <c r="F190" s="250" t="s">
        <v>733</v>
      </c>
      <c r="G190" s="250"/>
      <c r="H190" s="182"/>
      <c r="I190" s="182"/>
      <c r="J190" s="182"/>
      <c r="K190" s="182"/>
      <c r="L190" s="182"/>
      <c r="M190" s="182"/>
      <c r="N190" s="182"/>
      <c r="O190" s="182"/>
      <c r="Q190" s="178"/>
    </row>
    <row r="191" spans="1:17" ht="33" customHeight="1" x14ac:dyDescent="0.25">
      <c r="D191" s="246" t="s">
        <v>724</v>
      </c>
      <c r="E191" s="325"/>
      <c r="F191" s="246" t="s">
        <v>724</v>
      </c>
      <c r="G191" s="247"/>
      <c r="H191" s="186"/>
      <c r="Q191" s="107"/>
    </row>
    <row r="192" spans="1:17" ht="45" customHeight="1" x14ac:dyDescent="0.25">
      <c r="A192" s="321" t="s">
        <v>726</v>
      </c>
      <c r="B192" s="321"/>
      <c r="C192" s="322"/>
      <c r="D192" s="174" t="s">
        <v>24</v>
      </c>
      <c r="E192" s="179" t="s">
        <v>636</v>
      </c>
      <c r="F192" s="176" t="s">
        <v>24</v>
      </c>
      <c r="G192" s="176" t="s">
        <v>636</v>
      </c>
      <c r="H192" s="186"/>
      <c r="Q192" s="107"/>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7"/>
      <c r="Q193" s="107"/>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07"/>
      <c r="Q194" s="107"/>
    </row>
    <row r="195" spans="1:17" x14ac:dyDescent="0.25">
      <c r="A195" s="95" t="s">
        <v>650</v>
      </c>
      <c r="B195" s="95"/>
      <c r="C195" s="114"/>
      <c r="D195" s="220">
        <f t="shared" si="70"/>
        <v>0</v>
      </c>
      <c r="E195" s="221">
        <f t="shared" si="71"/>
        <v>0</v>
      </c>
      <c r="F195" s="45" t="str">
        <f t="shared" si="73"/>
        <v/>
      </c>
      <c r="G195" s="172" t="str">
        <f t="shared" si="72"/>
        <v/>
      </c>
      <c r="H195" s="107"/>
      <c r="Q195" s="107"/>
    </row>
    <row r="196" spans="1:17" x14ac:dyDescent="0.25">
      <c r="A196" s="93" t="s">
        <v>688</v>
      </c>
      <c r="B196" s="93"/>
      <c r="C196" s="123"/>
      <c r="D196" s="218">
        <f t="shared" si="70"/>
        <v>0</v>
      </c>
      <c r="E196" s="219">
        <f t="shared" si="71"/>
        <v>0</v>
      </c>
      <c r="F196" s="46" t="str">
        <f t="shared" si="73"/>
        <v/>
      </c>
      <c r="G196" s="55" t="str">
        <f t="shared" si="72"/>
        <v/>
      </c>
      <c r="H196" s="107"/>
      <c r="Q196" s="107"/>
    </row>
    <row r="197" spans="1:17" x14ac:dyDescent="0.25">
      <c r="A197" s="95" t="s">
        <v>661</v>
      </c>
      <c r="B197" s="95"/>
      <c r="C197" s="114"/>
      <c r="D197" s="220">
        <f t="shared" si="70"/>
        <v>0</v>
      </c>
      <c r="E197" s="221">
        <f t="shared" si="71"/>
        <v>0</v>
      </c>
      <c r="F197" s="45" t="str">
        <f t="shared" si="73"/>
        <v/>
      </c>
      <c r="G197" s="172" t="str">
        <f t="shared" si="72"/>
        <v/>
      </c>
      <c r="H197" s="107"/>
      <c r="Q197" s="107"/>
    </row>
    <row r="198" spans="1:17" x14ac:dyDescent="0.25">
      <c r="A198" s="93" t="s">
        <v>689</v>
      </c>
      <c r="B198" s="93"/>
      <c r="C198" s="123"/>
      <c r="D198" s="218">
        <f t="shared" si="70"/>
        <v>0</v>
      </c>
      <c r="E198" s="219">
        <f t="shared" si="71"/>
        <v>0</v>
      </c>
      <c r="F198" s="46" t="str">
        <f t="shared" si="73"/>
        <v/>
      </c>
      <c r="G198" s="55" t="str">
        <f t="shared" si="72"/>
        <v/>
      </c>
      <c r="H198" s="107"/>
      <c r="Q198" s="107"/>
    </row>
    <row r="199" spans="1:17" x14ac:dyDescent="0.25">
      <c r="A199" s="95" t="s">
        <v>690</v>
      </c>
      <c r="B199" s="95"/>
      <c r="C199" s="114"/>
      <c r="D199" s="220">
        <f t="shared" si="70"/>
        <v>0</v>
      </c>
      <c r="E199" s="221">
        <f t="shared" si="71"/>
        <v>0</v>
      </c>
      <c r="F199" s="45" t="str">
        <f t="shared" si="73"/>
        <v/>
      </c>
      <c r="G199" s="172" t="str">
        <f t="shared" si="72"/>
        <v/>
      </c>
      <c r="H199" s="107"/>
      <c r="Q199" s="107"/>
    </row>
    <row r="200" spans="1:17" x14ac:dyDescent="0.25">
      <c r="A200" s="93" t="s">
        <v>662</v>
      </c>
      <c r="B200" s="93"/>
      <c r="C200" s="123"/>
      <c r="D200" s="218">
        <f t="shared" si="70"/>
        <v>0</v>
      </c>
      <c r="E200" s="219">
        <f t="shared" si="71"/>
        <v>0</v>
      </c>
      <c r="F200" s="46" t="str">
        <f t="shared" si="73"/>
        <v/>
      </c>
      <c r="G200" s="55" t="str">
        <f t="shared" si="72"/>
        <v/>
      </c>
      <c r="H200" s="107"/>
      <c r="Q200" s="107"/>
    </row>
    <row r="201" spans="1:17" x14ac:dyDescent="0.25">
      <c r="A201" s="95" t="s">
        <v>672</v>
      </c>
      <c r="B201" s="95"/>
      <c r="C201" s="114"/>
      <c r="D201" s="220">
        <f t="shared" si="70"/>
        <v>0</v>
      </c>
      <c r="E201" s="221">
        <f t="shared" si="71"/>
        <v>0</v>
      </c>
      <c r="F201" s="45" t="str">
        <f t="shared" si="73"/>
        <v/>
      </c>
      <c r="G201" s="172" t="str">
        <f t="shared" si="72"/>
        <v/>
      </c>
      <c r="H201" s="107"/>
      <c r="Q201" s="107"/>
    </row>
    <row r="202" spans="1:17" x14ac:dyDescent="0.25">
      <c r="A202" s="93" t="s">
        <v>676</v>
      </c>
      <c r="B202" s="93"/>
      <c r="C202" s="123"/>
      <c r="D202" s="218">
        <f t="shared" si="70"/>
        <v>0</v>
      </c>
      <c r="E202" s="219">
        <f t="shared" si="71"/>
        <v>0</v>
      </c>
      <c r="F202" s="46" t="str">
        <f t="shared" si="73"/>
        <v/>
      </c>
      <c r="G202" s="46" t="str">
        <f t="shared" si="72"/>
        <v/>
      </c>
      <c r="H202" s="107"/>
      <c r="Q202" s="107"/>
    </row>
    <row r="203" spans="1:17" x14ac:dyDescent="0.25">
      <c r="A203" s="143" t="s">
        <v>677</v>
      </c>
      <c r="B203" s="107"/>
      <c r="C203" s="114"/>
      <c r="D203" s="220">
        <f t="shared" si="70"/>
        <v>0</v>
      </c>
      <c r="E203" s="221">
        <f t="shared" si="71"/>
        <v>0</v>
      </c>
      <c r="F203" s="178" t="str">
        <f t="shared" si="73"/>
        <v/>
      </c>
      <c r="G203" s="178" t="str">
        <f t="shared" si="72"/>
        <v/>
      </c>
      <c r="H203" s="107"/>
      <c r="Q203" s="107"/>
    </row>
    <row r="204" spans="1:17" x14ac:dyDescent="0.25">
      <c r="A204" s="93" t="s">
        <v>691</v>
      </c>
      <c r="B204" s="106"/>
      <c r="C204" s="123"/>
      <c r="D204" s="218">
        <f t="shared" si="70"/>
        <v>0</v>
      </c>
      <c r="E204" s="219">
        <f t="shared" si="71"/>
        <v>0</v>
      </c>
      <c r="F204" s="177" t="str">
        <f t="shared" si="73"/>
        <v/>
      </c>
      <c r="G204" s="177" t="str">
        <f t="shared" si="72"/>
        <v/>
      </c>
      <c r="H204" s="107"/>
      <c r="Q204" s="107"/>
    </row>
    <row r="205" spans="1:17" x14ac:dyDescent="0.25">
      <c r="A205" s="143" t="s">
        <v>678</v>
      </c>
      <c r="B205" s="107"/>
      <c r="C205" s="114"/>
      <c r="D205" s="220">
        <f t="shared" si="70"/>
        <v>0</v>
      </c>
      <c r="E205" s="221">
        <f t="shared" si="71"/>
        <v>0</v>
      </c>
      <c r="F205" s="178" t="str">
        <f t="shared" si="73"/>
        <v/>
      </c>
      <c r="G205" s="178" t="str">
        <f t="shared" si="72"/>
        <v/>
      </c>
      <c r="H205" s="107"/>
      <c r="Q205" s="107"/>
    </row>
    <row r="206" spans="1:17" x14ac:dyDescent="0.25">
      <c r="A206" s="93" t="s">
        <v>692</v>
      </c>
      <c r="B206" s="106"/>
      <c r="C206" s="123"/>
      <c r="D206" s="218">
        <f t="shared" si="70"/>
        <v>0</v>
      </c>
      <c r="E206" s="219">
        <f t="shared" si="71"/>
        <v>0</v>
      </c>
      <c r="F206" s="177" t="str">
        <f t="shared" si="73"/>
        <v/>
      </c>
      <c r="G206" s="177" t="str">
        <f t="shared" si="72"/>
        <v/>
      </c>
      <c r="H206" s="107"/>
      <c r="Q206" s="107"/>
    </row>
    <row r="207" spans="1:17" x14ac:dyDescent="0.25">
      <c r="A207" s="143" t="s">
        <v>679</v>
      </c>
      <c r="B207" s="107"/>
      <c r="C207" s="114"/>
      <c r="D207" s="220">
        <f t="shared" si="70"/>
        <v>0</v>
      </c>
      <c r="E207" s="221">
        <f t="shared" si="71"/>
        <v>0</v>
      </c>
      <c r="F207" s="178" t="str">
        <f t="shared" si="73"/>
        <v/>
      </c>
      <c r="G207" s="178" t="str">
        <f t="shared" si="72"/>
        <v/>
      </c>
      <c r="H207" s="107"/>
      <c r="Q207" s="107"/>
    </row>
    <row r="208" spans="1:17" x14ac:dyDescent="0.25">
      <c r="A208" s="93" t="s">
        <v>680</v>
      </c>
      <c r="B208" s="106"/>
      <c r="C208" s="123"/>
      <c r="D208" s="218">
        <f t="shared" si="70"/>
        <v>0</v>
      </c>
      <c r="E208" s="219">
        <f t="shared" si="71"/>
        <v>0</v>
      </c>
      <c r="F208" s="177" t="str">
        <f t="shared" si="73"/>
        <v/>
      </c>
      <c r="G208" s="177" t="str">
        <f t="shared" si="72"/>
        <v/>
      </c>
      <c r="H208" s="107"/>
      <c r="Q208" s="107"/>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07"/>
      <c r="Q209" s="107"/>
    </row>
    <row r="210" spans="1:17" x14ac:dyDescent="0.25">
      <c r="A210" s="348" t="str">
        <f>$B$8&amp;": Cases Opened and Closed, Alleged Criminal Violations"</f>
        <v>Q1: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5">
        <f>'Start Here'!$C$16</f>
        <v>2022</v>
      </c>
    </row>
    <row r="215" spans="1:17" ht="16.5" customHeight="1" x14ac:dyDescent="0.25">
      <c r="A215" s="343" t="s">
        <v>739</v>
      </c>
      <c r="B215" s="343"/>
      <c r="C215" s="10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101">
        <f t="shared" si="74"/>
        <v>0</v>
      </c>
      <c r="D218" s="1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101">
        <f t="shared" si="74"/>
        <v>0</v>
      </c>
      <c r="D220" s="1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101">
        <f t="shared" si="74"/>
        <v>0</v>
      </c>
      <c r="D222" s="1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07"/>
      <c r="P224" s="107"/>
      <c r="Q224" s="107"/>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82" t="s">
        <v>13</v>
      </c>
      <c r="K227" s="82" t="s">
        <v>14</v>
      </c>
      <c r="L227" s="83" t="s">
        <v>15</v>
      </c>
      <c r="M227" s="81" t="s">
        <v>16</v>
      </c>
      <c r="N227" s="82" t="s">
        <v>17</v>
      </c>
      <c r="O227" s="82" t="s">
        <v>18</v>
      </c>
      <c r="P227" s="82"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1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1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1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1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Q1: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5">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07"/>
    </row>
    <row r="251" spans="1:17" x14ac:dyDescent="0.25">
      <c r="A251" s="5"/>
      <c r="B251" s="5"/>
      <c r="C251" s="5"/>
      <c r="D251" s="107"/>
      <c r="E251" s="107"/>
      <c r="F251" s="107"/>
      <c r="G251" s="107"/>
      <c r="H251" s="107"/>
      <c r="I251" s="107"/>
      <c r="J251" s="107"/>
      <c r="K251" s="107"/>
      <c r="M251" s="143"/>
      <c r="N251" s="256"/>
      <c r="O251" s="257"/>
      <c r="P251" s="258"/>
      <c r="Q251" s="107"/>
    </row>
    <row r="252" spans="1:17" ht="48" customHeight="1" x14ac:dyDescent="0.25">
      <c r="A252" s="251" t="s">
        <v>741</v>
      </c>
      <c r="B252" s="251"/>
      <c r="C252" s="251"/>
      <c r="D252" s="251"/>
      <c r="E252" s="251"/>
      <c r="F252" s="251"/>
      <c r="G252" s="251"/>
      <c r="H252" s="186"/>
      <c r="N252" s="256"/>
      <c r="O252" s="257"/>
      <c r="P252" s="258"/>
      <c r="Q252" s="107"/>
    </row>
    <row r="253" spans="1:17" ht="47.25" customHeight="1" thickBot="1" x14ac:dyDescent="0.3">
      <c r="A253" s="182"/>
      <c r="B253" s="182"/>
      <c r="C253" s="183"/>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07"/>
    </row>
    <row r="255" spans="1:17" ht="45" customHeight="1" x14ac:dyDescent="0.25">
      <c r="A255" s="321" t="s">
        <v>739</v>
      </c>
      <c r="B255" s="321"/>
      <c r="C255" s="322"/>
      <c r="D255" s="174" t="s">
        <v>24</v>
      </c>
      <c r="E255" s="179" t="s">
        <v>636</v>
      </c>
      <c r="F255" s="176" t="s">
        <v>24</v>
      </c>
      <c r="G255" s="176" t="s">
        <v>636</v>
      </c>
      <c r="H255" s="178"/>
      <c r="Q255" s="107"/>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07"/>
    </row>
    <row r="257" spans="1:17" x14ac:dyDescent="0.25">
      <c r="A257" s="93" t="s">
        <v>683</v>
      </c>
      <c r="B257" s="93"/>
      <c r="C257" s="123"/>
      <c r="D257" s="214">
        <f t="shared" si="89"/>
        <v>0</v>
      </c>
      <c r="E257" s="123">
        <f t="shared" si="90"/>
        <v>0</v>
      </c>
      <c r="F257" s="46" t="str">
        <f t="shared" si="91"/>
        <v/>
      </c>
      <c r="G257" s="55" t="str">
        <f t="shared" si="92"/>
        <v/>
      </c>
      <c r="H257" s="178"/>
      <c r="Q257" s="107"/>
    </row>
    <row r="258" spans="1:17" x14ac:dyDescent="0.25">
      <c r="A258" s="95" t="s">
        <v>684</v>
      </c>
      <c r="B258" s="95"/>
      <c r="C258" s="114"/>
      <c r="D258" s="76">
        <f t="shared" si="89"/>
        <v>0</v>
      </c>
      <c r="E258" s="114">
        <f t="shared" si="90"/>
        <v>0</v>
      </c>
      <c r="F258" s="45" t="str">
        <f t="shared" si="91"/>
        <v/>
      </c>
      <c r="G258" s="172" t="str">
        <f t="shared" si="92"/>
        <v/>
      </c>
      <c r="H258" s="178"/>
      <c r="Q258" s="107"/>
    </row>
    <row r="259" spans="1:17" x14ac:dyDescent="0.25">
      <c r="A259" s="93" t="s">
        <v>685</v>
      </c>
      <c r="B259" s="93"/>
      <c r="C259" s="123"/>
      <c r="D259" s="214">
        <f t="shared" si="89"/>
        <v>0</v>
      </c>
      <c r="E259" s="123">
        <f t="shared" si="90"/>
        <v>0</v>
      </c>
      <c r="F259" s="46" t="str">
        <f t="shared" si="91"/>
        <v/>
      </c>
      <c r="G259" s="55" t="str">
        <f t="shared" si="92"/>
        <v/>
      </c>
      <c r="H259" s="178"/>
      <c r="Q259" s="107"/>
    </row>
    <row r="260" spans="1:17" x14ac:dyDescent="0.25">
      <c r="A260" s="95" t="s">
        <v>648</v>
      </c>
      <c r="B260" s="95"/>
      <c r="C260" s="114"/>
      <c r="D260" s="76">
        <f t="shared" si="89"/>
        <v>0</v>
      </c>
      <c r="E260" s="114">
        <f t="shared" si="90"/>
        <v>0</v>
      </c>
      <c r="F260" s="45" t="str">
        <f t="shared" si="91"/>
        <v/>
      </c>
      <c r="G260" s="172" t="str">
        <f t="shared" si="92"/>
        <v/>
      </c>
      <c r="H260" s="178"/>
      <c r="Q260" s="107"/>
    </row>
    <row r="261" spans="1:17" x14ac:dyDescent="0.25">
      <c r="A261" s="93" t="s">
        <v>686</v>
      </c>
      <c r="B261" s="93"/>
      <c r="C261" s="123"/>
      <c r="D261" s="214">
        <f t="shared" si="89"/>
        <v>0</v>
      </c>
      <c r="E261" s="123">
        <f t="shared" si="90"/>
        <v>0</v>
      </c>
      <c r="F261" s="46" t="str">
        <f t="shared" si="91"/>
        <v/>
      </c>
      <c r="G261" s="55" t="str">
        <f t="shared" si="92"/>
        <v/>
      </c>
      <c r="H261" s="178"/>
      <c r="Q261" s="107"/>
    </row>
    <row r="262" spans="1:17" x14ac:dyDescent="0.25">
      <c r="A262" s="95" t="s">
        <v>687</v>
      </c>
      <c r="B262" s="95"/>
      <c r="C262" s="114"/>
      <c r="D262" s="76">
        <f t="shared" si="89"/>
        <v>0</v>
      </c>
      <c r="E262" s="114">
        <f t="shared" si="90"/>
        <v>0</v>
      </c>
      <c r="F262" s="45" t="str">
        <f t="shared" si="91"/>
        <v/>
      </c>
      <c r="G262" s="172" t="str">
        <f t="shared" si="92"/>
        <v/>
      </c>
      <c r="H262" s="178"/>
      <c r="Q262" s="107"/>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07"/>
    </row>
    <row r="264" spans="1:17" x14ac:dyDescent="0.25">
      <c r="F264" s="107"/>
      <c r="G264" s="107"/>
      <c r="H264" s="107"/>
      <c r="I264" s="107"/>
      <c r="J264" s="107"/>
      <c r="K264" s="107"/>
      <c r="L264" s="143"/>
      <c r="M264" s="107"/>
      <c r="N264" s="107"/>
      <c r="O264" s="107"/>
      <c r="P264" s="107"/>
      <c r="Q264" s="107"/>
    </row>
    <row r="265" spans="1:17" x14ac:dyDescent="0.25">
      <c r="A265" s="348" t="str">
        <f>$B$8&amp;": Discipline Issued"</f>
        <v>Q1: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5">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pageSetUpPr fitToPage="1"/>
  </sheetPr>
  <dimension ref="A2:AE307"/>
  <sheetViews>
    <sheetView view="pageBreakPreview" topLeftCell="A10"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744</v>
      </c>
      <c r="C8" s="292" t="str">
        <f>$B$8&amp;" Internal Affairs Summary"</f>
        <v>Q2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44652</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44742</v>
      </c>
      <c r="C10" s="347" t="str">
        <f>"Internal Affairs: "&amp;$B$8&amp;" Snapshot"</f>
        <v>Internal Affairs: Q2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Q2.</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si="0"/>
        <v>0</v>
      </c>
      <c r="G17" s="274"/>
      <c r="H17" s="303">
        <f t="shared" si="1"/>
        <v>0</v>
      </c>
      <c r="I17" s="303"/>
      <c r="J17" s="303">
        <f t="shared" si="2"/>
        <v>0</v>
      </c>
      <c r="K17" s="303"/>
      <c r="L17" s="303">
        <f t="shared" si="3"/>
        <v>0</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0</v>
      </c>
      <c r="G24" s="272"/>
      <c r="H24" s="301">
        <f t="shared" si="1"/>
        <v>0</v>
      </c>
      <c r="I24" s="301"/>
      <c r="J24" s="301">
        <f t="shared" si="2"/>
        <v>0</v>
      </c>
      <c r="K24" s="301"/>
      <c r="L24" s="301">
        <f t="shared" si="3"/>
        <v>0</v>
      </c>
      <c r="M24" s="301"/>
    </row>
    <row r="25" spans="3:16" ht="18.75" x14ac:dyDescent="0.3">
      <c r="C25" s="132"/>
      <c r="D25" s="132"/>
      <c r="E25" s="165" t="s">
        <v>615</v>
      </c>
      <c r="F25" s="308">
        <f>SUM(F16:F24)</f>
        <v>0</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Q2</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f>COUNTIFS(PendingComplaintSource, J30, PendingCloseDate,"&gt;="&amp;$B$9,PendingCloseDate,"&lt;="&amp;$B$10) + COUNTIFS(OpenedComplaintSource, J30, OpenedCloseDate,"&gt;="&amp;$B$9,OpenedCloseDate,"&lt;="&amp;$B$10)</f>
        <v>0</v>
      </c>
      <c r="K31" s="299"/>
      <c r="L31" s="184"/>
      <c r="M31" s="184"/>
      <c r="N31" s="184"/>
      <c r="O31" s="184"/>
      <c r="P31" s="184"/>
    </row>
    <row r="32" spans="3:16" ht="18.75" x14ac:dyDescent="0.3">
      <c r="E32" s="228" t="s">
        <v>711</v>
      </c>
      <c r="F32" s="304" t="str">
        <f t="shared" ref="F32" si="5">IF(SUM($F31:$J31)=0, "", F31/SUM($F31:$J31))</f>
        <v/>
      </c>
      <c r="G32" s="305"/>
      <c r="H32" s="306" t="str">
        <f t="shared" ref="H32" si="6">IF(SUM($F31:$J31)=0, "", H31/SUM($F31:$J31))</f>
        <v/>
      </c>
      <c r="I32" s="306"/>
      <c r="J32" s="305" t="str">
        <f>IF(SUM($F31:$J31)=0, "", J31/SUM($F31:$J31))</f>
        <v/>
      </c>
      <c r="K32" s="307"/>
    </row>
    <row r="33" spans="1:17" ht="15.75" thickBot="1" x14ac:dyDescent="0.3"/>
    <row r="34" spans="1:17" ht="36.75" customHeight="1" x14ac:dyDescent="0.3">
      <c r="C34" s="268" t="str">
        <f>"Frequency of discipline by type for complaints closed in "&amp;$B$8</f>
        <v>Frequency of discipline by type for complaints closed in Q2</v>
      </c>
      <c r="D34" s="268"/>
      <c r="E34" s="268"/>
      <c r="F34" s="268"/>
      <c r="G34" s="208"/>
      <c r="I34" s="252" t="str">
        <f>$B$8&amp;" Summary"</f>
        <v>Q2 Summary</v>
      </c>
      <c r="J34" s="252"/>
      <c r="K34" s="252"/>
      <c r="M34" s="283" t="s">
        <v>625</v>
      </c>
      <c r="N34" s="284"/>
      <c r="O34" s="284"/>
      <c r="P34" s="285"/>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f>SUM($E$67:$G$67)</f>
        <v>0</v>
      </c>
      <c r="M37" s="286"/>
      <c r="N37" s="287"/>
      <c r="O37" s="287"/>
      <c r="P37" s="288"/>
    </row>
    <row r="38" spans="1:17" ht="18.75" x14ac:dyDescent="0.3">
      <c r="B38" s="117"/>
      <c r="C38" s="117"/>
      <c r="D38" s="117"/>
      <c r="E38" s="210"/>
      <c r="F38" s="163" t="s">
        <v>666</v>
      </c>
      <c r="G38" s="210">
        <f t="shared" si="7"/>
        <v>0</v>
      </c>
      <c r="I38" s="271" t="s">
        <v>622</v>
      </c>
      <c r="J38" s="272"/>
      <c r="K38" s="212">
        <f>$B$82</f>
        <v>0</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Q2</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f t="shared" si="7"/>
        <v>0</v>
      </c>
      <c r="I44" s="125"/>
      <c r="J44" s="125"/>
      <c r="K44" s="125"/>
      <c r="M44" s="289"/>
      <c r="N44" s="290"/>
      <c r="O44" s="290"/>
      <c r="P44" s="291"/>
    </row>
    <row r="45" spans="1:17" ht="18.75" x14ac:dyDescent="0.3">
      <c r="B45" s="125"/>
      <c r="C45" s="125"/>
      <c r="D45" s="125"/>
      <c r="E45" s="125"/>
      <c r="F45" s="170" t="s">
        <v>615</v>
      </c>
      <c r="G45" s="171">
        <f>SUM(G35:G44)</f>
        <v>0</v>
      </c>
    </row>
    <row r="48" spans="1:17" x14ac:dyDescent="0.25">
      <c r="A48" s="1"/>
      <c r="K48" s="244" t="s">
        <v>33</v>
      </c>
      <c r="L48" s="244"/>
      <c r="M48" s="245" t="str">
        <f>'Start Here'!C$13</f>
        <v>Chesterfield Twp PD, Burlington Co.</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Q2: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Q2: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0</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Q2: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Q2: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Q2: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Q2: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Q2: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79998168889431442"/>
    <pageSetUpPr fitToPage="1"/>
  </sheetPr>
  <dimension ref="A2:AE307"/>
  <sheetViews>
    <sheetView view="pageBreakPreview" topLeftCell="A214" zoomScale="110" zoomScaleNormal="100" zoomScaleSheetLayoutView="110" zoomScalePageLayoutView="60" workbookViewId="0">
      <selection activeCell="B30" sqref="B3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745</v>
      </c>
      <c r="C8" s="292" t="str">
        <f>$B$8&amp;" Internal Affairs Summary"</f>
        <v>Q3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44743</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44834</v>
      </c>
      <c r="C10" s="347" t="str">
        <f>"Internal Affairs: "&amp;$B$8&amp;" Snapshot"</f>
        <v>Internal Affairs: Q3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Q3.</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f t="shared" ref="F16:F24" si="0">COUNTIFS(PendingMSO,$E16,PendingCloseDate,"&gt;="&amp;$B$9,PendingCloseDate,"&lt;="&amp;$B$10) + COUNTIFS(OpenedMSO,$E16,OpenedCloseDate,"&gt;="&amp;$B$9,OpenedCloseDate,"&lt;="&amp;$B$10)</f>
        <v>0</v>
      </c>
      <c r="G16" s="299"/>
      <c r="H16" s="297">
        <f t="shared" ref="H16:H24" si="1">COUNTIFS(PendingMSO,$E16,PendingMSOMatch,"Yes",PendingCloseDate,"&gt;="&amp;$B$9,PendingCloseDate,"&lt;="&amp;$B$10) + COUNTIFS(OpenedMSO,$E16,OpenedMSOMatch,"Yes",OpenedCloseDate,"&gt;="&amp;$B$9,OpenedCloseDate,"&lt;="&amp;$B$10)</f>
        <v>0</v>
      </c>
      <c r="I16" s="297"/>
      <c r="J16" s="29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3" si="3">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v>1</v>
      </c>
      <c r="G17" s="274"/>
      <c r="H17" s="303">
        <f t="shared" si="1"/>
        <v>0</v>
      </c>
      <c r="I17" s="303"/>
      <c r="J17" s="303">
        <f t="shared" si="2"/>
        <v>0</v>
      </c>
      <c r="K17" s="303"/>
      <c r="L17" s="303">
        <v>1</v>
      </c>
      <c r="M17" s="303"/>
    </row>
    <row r="18" spans="3:16" ht="18.75" x14ac:dyDescent="0.3">
      <c r="E18" s="164" t="s">
        <v>652</v>
      </c>
      <c r="F18" s="300">
        <f t="shared" si="0"/>
        <v>0</v>
      </c>
      <c r="G18" s="272"/>
      <c r="H18" s="301">
        <f t="shared" si="1"/>
        <v>0</v>
      </c>
      <c r="I18" s="301"/>
      <c r="J18" s="301">
        <f t="shared" si="2"/>
        <v>0</v>
      </c>
      <c r="K18" s="301"/>
      <c r="L18" s="301">
        <f t="shared" si="3"/>
        <v>0</v>
      </c>
      <c r="M18" s="301"/>
    </row>
    <row r="19" spans="3:16" ht="18.75" x14ac:dyDescent="0.3">
      <c r="C19" s="117"/>
      <c r="D19" s="117"/>
      <c r="E19" s="163" t="s">
        <v>653</v>
      </c>
      <c r="F19" s="302">
        <f t="shared" si="0"/>
        <v>0</v>
      </c>
      <c r="G19" s="274"/>
      <c r="H19" s="303">
        <f t="shared" si="1"/>
        <v>0</v>
      </c>
      <c r="I19" s="303"/>
      <c r="J19" s="303">
        <f t="shared" si="2"/>
        <v>0</v>
      </c>
      <c r="K19" s="303"/>
      <c r="L19" s="303">
        <f t="shared" si="3"/>
        <v>0</v>
      </c>
      <c r="M19" s="303"/>
    </row>
    <row r="20" spans="3:16" ht="18.75" x14ac:dyDescent="0.3">
      <c r="E20" s="164" t="s">
        <v>654</v>
      </c>
      <c r="F20" s="300">
        <f t="shared" si="0"/>
        <v>0</v>
      </c>
      <c r="G20" s="272"/>
      <c r="H20" s="301">
        <f t="shared" si="1"/>
        <v>0</v>
      </c>
      <c r="I20" s="301"/>
      <c r="J20" s="301">
        <f t="shared" si="2"/>
        <v>0</v>
      </c>
      <c r="K20" s="301"/>
      <c r="L20" s="301">
        <f t="shared" si="3"/>
        <v>0</v>
      </c>
      <c r="M20" s="301"/>
    </row>
    <row r="21" spans="3:16" ht="18.75" x14ac:dyDescent="0.3">
      <c r="C21" s="117"/>
      <c r="D21" s="117"/>
      <c r="E21" s="163" t="s">
        <v>655</v>
      </c>
      <c r="F21" s="302">
        <f t="shared" si="0"/>
        <v>0</v>
      </c>
      <c r="G21" s="274"/>
      <c r="H21" s="303">
        <f t="shared" si="1"/>
        <v>0</v>
      </c>
      <c r="I21" s="303"/>
      <c r="J21" s="303">
        <f t="shared" si="2"/>
        <v>0</v>
      </c>
      <c r="K21" s="303"/>
      <c r="L21" s="303">
        <f t="shared" si="3"/>
        <v>0</v>
      </c>
      <c r="M21" s="303"/>
    </row>
    <row r="22" spans="3:16" ht="18.75" x14ac:dyDescent="0.3">
      <c r="E22" s="164" t="s">
        <v>656</v>
      </c>
      <c r="F22" s="300">
        <f t="shared" si="0"/>
        <v>0</v>
      </c>
      <c r="G22" s="272"/>
      <c r="H22" s="301">
        <f t="shared" si="1"/>
        <v>0</v>
      </c>
      <c r="I22" s="301"/>
      <c r="J22" s="301">
        <f t="shared" si="2"/>
        <v>0</v>
      </c>
      <c r="K22" s="301"/>
      <c r="L22" s="301">
        <f t="shared" si="3"/>
        <v>0</v>
      </c>
      <c r="M22" s="301"/>
    </row>
    <row r="23" spans="3:16" ht="18.75" x14ac:dyDescent="0.3">
      <c r="C23" s="117"/>
      <c r="D23" s="117"/>
      <c r="E23" s="163" t="s">
        <v>5</v>
      </c>
      <c r="F23" s="302">
        <f t="shared" si="0"/>
        <v>0</v>
      </c>
      <c r="G23" s="274"/>
      <c r="H23" s="303">
        <f t="shared" si="1"/>
        <v>0</v>
      </c>
      <c r="I23" s="303"/>
      <c r="J23" s="303">
        <f t="shared" si="2"/>
        <v>0</v>
      </c>
      <c r="K23" s="303"/>
      <c r="L23" s="303">
        <f t="shared" si="3"/>
        <v>0</v>
      </c>
      <c r="M23" s="303"/>
    </row>
    <row r="24" spans="3:16" ht="18.75" x14ac:dyDescent="0.3">
      <c r="E24" s="164" t="s">
        <v>657</v>
      </c>
      <c r="F24" s="300">
        <f t="shared" si="0"/>
        <v>0</v>
      </c>
      <c r="G24" s="272"/>
      <c r="H24" s="301">
        <f t="shared" si="1"/>
        <v>0</v>
      </c>
      <c r="I24" s="301"/>
      <c r="J24" s="301">
        <f t="shared" si="2"/>
        <v>0</v>
      </c>
      <c r="K24" s="301"/>
      <c r="L24" s="301">
        <v>0</v>
      </c>
      <c r="M24" s="301"/>
    </row>
    <row r="25" spans="3:16" ht="18.75" x14ac:dyDescent="0.3">
      <c r="C25" s="132"/>
      <c r="D25" s="132"/>
      <c r="E25" s="165" t="s">
        <v>615</v>
      </c>
      <c r="F25" s="308">
        <f>SUM(F16:F24)</f>
        <v>1</v>
      </c>
      <c r="G25" s="309"/>
      <c r="H25" s="310">
        <f t="shared" ref="H25" si="4">SUM(H16:H24)</f>
        <v>0</v>
      </c>
      <c r="I25" s="310"/>
      <c r="J25" s="310">
        <f>SUM(J16:J24)</f>
        <v>0</v>
      </c>
      <c r="K25" s="310"/>
      <c r="L25" s="310">
        <f>SUM(L16:L24)</f>
        <v>1</v>
      </c>
      <c r="M25" s="310"/>
    </row>
    <row r="28" spans="3:16" ht="21" x14ac:dyDescent="0.35">
      <c r="F28" s="293" t="str">
        <f>"Distribution of sources for complaints closed in "&amp;$B$8</f>
        <v>Distribution of sources for complaints closed in Q3</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v>1</v>
      </c>
      <c r="K31" s="299"/>
      <c r="L31" s="184"/>
      <c r="M31" s="184"/>
      <c r="N31" s="184"/>
      <c r="O31" s="184"/>
      <c r="P31" s="184"/>
    </row>
    <row r="32" spans="3:16" ht="18.75" x14ac:dyDescent="0.3">
      <c r="E32" s="228" t="s">
        <v>711</v>
      </c>
      <c r="F32" s="304">
        <f t="shared" ref="F32" si="5">IF(SUM($F31:$J31)=0, "", F31/SUM($F31:$J31))</f>
        <v>0</v>
      </c>
      <c r="G32" s="305"/>
      <c r="H32" s="306">
        <f t="shared" ref="H32" si="6">IF(SUM($F31:$J31)=0, "", H31/SUM($F31:$J31))</f>
        <v>0</v>
      </c>
      <c r="I32" s="306"/>
      <c r="J32" s="305">
        <f>IF(SUM($F31:$J31)=0, "", J31/SUM($F31:$J31))</f>
        <v>1</v>
      </c>
      <c r="K32" s="307"/>
    </row>
    <row r="33" spans="1:17" ht="15.75" thickBot="1" x14ac:dyDescent="0.3"/>
    <row r="34" spans="1:17" ht="36.75" customHeight="1" x14ac:dyDescent="0.3">
      <c r="C34" s="268" t="str">
        <f>"Frequency of discipline by type for complaints closed in "&amp;$B$8</f>
        <v>Frequency of discipline by type for complaints closed in Q3</v>
      </c>
      <c r="D34" s="268"/>
      <c r="E34" s="268"/>
      <c r="F34" s="268"/>
      <c r="G34" s="208"/>
      <c r="I34" s="252" t="str">
        <f>$B$8&amp;" Summary"</f>
        <v>Q3 Summary</v>
      </c>
      <c r="J34" s="252"/>
      <c r="K34" s="252"/>
      <c r="M34" s="283" t="s">
        <v>625</v>
      </c>
      <c r="N34" s="284"/>
      <c r="O34" s="284"/>
      <c r="P34" s="285"/>
    </row>
    <row r="35" spans="1:17" ht="18.75" customHeight="1" x14ac:dyDescent="0.3">
      <c r="B35" s="125"/>
      <c r="C35" s="125"/>
      <c r="D35" s="125"/>
      <c r="E35" s="207"/>
      <c r="F35" s="162" t="s">
        <v>663</v>
      </c>
      <c r="G35" s="207">
        <f t="shared" ref="G35:G43"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f>SUM($E$67:$G$67)</f>
        <v>1</v>
      </c>
      <c r="M37" s="286"/>
      <c r="N37" s="287"/>
      <c r="O37" s="287"/>
      <c r="P37" s="288"/>
    </row>
    <row r="38" spans="1:17" ht="18.75" x14ac:dyDescent="0.3">
      <c r="B38" s="117"/>
      <c r="C38" s="117"/>
      <c r="D38" s="117"/>
      <c r="E38" s="210"/>
      <c r="F38" s="163" t="s">
        <v>666</v>
      </c>
      <c r="G38" s="210">
        <f t="shared" si="7"/>
        <v>0</v>
      </c>
      <c r="I38" s="271" t="s">
        <v>622</v>
      </c>
      <c r="J38" s="272"/>
      <c r="K38" s="212">
        <f>$B$82</f>
        <v>1</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Q3</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v>1</v>
      </c>
      <c r="I44" s="125"/>
      <c r="J44" s="125"/>
      <c r="K44" s="125"/>
      <c r="M44" s="289"/>
      <c r="N44" s="290"/>
      <c r="O44" s="290"/>
      <c r="P44" s="291"/>
    </row>
    <row r="45" spans="1:17" ht="18.75" x14ac:dyDescent="0.3">
      <c r="B45" s="125"/>
      <c r="C45" s="125"/>
      <c r="D45" s="125"/>
      <c r="E45" s="125"/>
      <c r="F45" s="170" t="s">
        <v>615</v>
      </c>
      <c r="G45" s="171">
        <f>SUM(G35:G44)</f>
        <v>1</v>
      </c>
    </row>
    <row r="48" spans="1:17" x14ac:dyDescent="0.25">
      <c r="A48" s="1"/>
      <c r="K48" s="244" t="s">
        <v>33</v>
      </c>
      <c r="L48" s="244"/>
      <c r="M48" s="245" t="str">
        <f>'Start Here'!C$13</f>
        <v>Chesterfield Twp PD, Burlington Co.</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Q3: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IF(E58=0,"",(SUMIFS(OpenedNInitial,OpenedMSO,$A58,OpenedComplaintSource,H$57,OpenedComplaintReceived,"&gt;="&amp;$B$9,OpenedComplaintReceived,"&lt;="&amp;$B$10)/E58))</f>
        <v/>
      </c>
      <c r="I58" s="54" t="str">
        <f t="shared" ref="I58:I66" si="10">IF(F58=0,"",(SUMIFS(OpenedNInitial,OpenedMSO,$A58,OpenedComplaintSource,I$57,OpenedComplaintReceived,"&gt;="&amp;$B$9,OpenedComplaintReceived,"&lt;="&amp;$B$10)/F58))</f>
        <v/>
      </c>
      <c r="J58" s="54" t="str">
        <f t="shared" ref="J58:J66" si="11">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v>1</v>
      </c>
      <c r="G59" s="46">
        <f t="shared" si="9"/>
        <v>0</v>
      </c>
      <c r="H59" s="56" t="str">
        <f t="shared" ref="H59:H66" si="12">IF(E59=0,"",(SUMIFS(OpenedNInitial,OpenedMSO,$A59,OpenedComplaintSource,H$57,OpenedComplaintReceived,"&gt;="&amp;$B$9,OpenedComplaintReceived,"&lt;="&amp;$B$10)/E59))</f>
        <v/>
      </c>
      <c r="I59" s="46">
        <v>1</v>
      </c>
      <c r="J59" s="46" t="str">
        <f t="shared" si="11"/>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2"/>
        <v/>
      </c>
      <c r="I60" s="45" t="str">
        <f t="shared" si="10"/>
        <v/>
      </c>
      <c r="J60" s="45" t="str">
        <f t="shared" si="11"/>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2"/>
        <v/>
      </c>
      <c r="I61" s="46" t="str">
        <f t="shared" si="10"/>
        <v/>
      </c>
      <c r="J61" s="46" t="str">
        <f t="shared" si="11"/>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2"/>
        <v/>
      </c>
      <c r="I62" s="45" t="str">
        <f t="shared" si="10"/>
        <v/>
      </c>
      <c r="J62" s="45" t="str">
        <f t="shared" si="11"/>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2"/>
        <v/>
      </c>
      <c r="I63" s="46" t="str">
        <f t="shared" si="10"/>
        <v/>
      </c>
      <c r="J63" s="46" t="str">
        <f t="shared" si="11"/>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2"/>
        <v/>
      </c>
      <c r="I64" s="45" t="str">
        <f t="shared" si="10"/>
        <v/>
      </c>
      <c r="J64" s="45" t="str">
        <f t="shared" si="11"/>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2"/>
        <v/>
      </c>
      <c r="I65" s="46" t="str">
        <f t="shared" si="10"/>
        <v/>
      </c>
      <c r="J65" s="46" t="str">
        <f t="shared" si="11"/>
        <v/>
      </c>
      <c r="K65" s="54"/>
      <c r="L65" s="54"/>
      <c r="M65" s="54"/>
      <c r="N65" s="256"/>
      <c r="O65" s="257"/>
      <c r="P65" s="258"/>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2"/>
        <v/>
      </c>
      <c r="I66" s="45" t="str">
        <f t="shared" si="10"/>
        <v/>
      </c>
      <c r="J66" s="45" t="str">
        <f t="shared" si="11"/>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1</v>
      </c>
      <c r="G67" s="64">
        <f>SUM(G58:G66)</f>
        <v>0</v>
      </c>
      <c r="H67" s="60" t="str">
        <f>IF(E67=0,"",(SUMIFS(OpenedNInitial,OpenedComplaintSource,H$57,OpenedComplaintReceived,"&gt;="&amp;$B$9,OpenedComplaintReceived,"&lt;="&amp;$B$10)/E67))</f>
        <v/>
      </c>
      <c r="I67" s="64">
        <v>1</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v>1</v>
      </c>
      <c r="C74" s="55">
        <f t="shared" si="15"/>
        <v>0</v>
      </c>
      <c r="D74" s="55">
        <f t="shared" si="16"/>
        <v>0</v>
      </c>
      <c r="E74" s="56">
        <f t="shared" si="17"/>
        <v>0</v>
      </c>
      <c r="F74" s="46">
        <v>1</v>
      </c>
      <c r="G74" s="46">
        <f t="shared" si="17"/>
        <v>0</v>
      </c>
      <c r="H74" s="56">
        <f t="shared" si="18"/>
        <v>0</v>
      </c>
      <c r="I74" s="46">
        <f t="shared" si="18"/>
        <v>0</v>
      </c>
      <c r="J74" s="46">
        <f t="shared" si="18"/>
        <v>0</v>
      </c>
      <c r="K74" s="47">
        <f t="shared" si="18"/>
        <v>0</v>
      </c>
      <c r="L74" s="56">
        <f t="shared" si="19"/>
        <v>0</v>
      </c>
      <c r="M74" s="46">
        <v>1</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IF(B82=0, "", SUM(C73:C81) / B82)</f>
        <v>0</v>
      </c>
      <c r="D82" s="64">
        <f t="shared" ref="D82" si="22">SUM(D73:D81)</f>
        <v>0</v>
      </c>
      <c r="E82" s="60">
        <f t="shared" ref="E82:O82" si="23">SUM(E73:E81)</f>
        <v>0</v>
      </c>
      <c r="F82" s="64">
        <f t="shared" si="23"/>
        <v>1</v>
      </c>
      <c r="G82" s="64">
        <f t="shared" si="23"/>
        <v>0</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Q3: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v>1</v>
      </c>
      <c r="C93" s="336"/>
      <c r="D93" s="46">
        <f t="shared" si="25"/>
        <v>0</v>
      </c>
      <c r="E93" s="46">
        <f t="shared" si="25"/>
        <v>0</v>
      </c>
      <c r="F93" s="46">
        <f t="shared" si="25"/>
        <v>0</v>
      </c>
      <c r="G93" s="46">
        <f t="shared" si="25"/>
        <v>0</v>
      </c>
      <c r="H93" s="46">
        <f t="shared" si="25"/>
        <v>0</v>
      </c>
      <c r="I93" s="46">
        <v>1</v>
      </c>
      <c r="J93" s="46">
        <f t="shared" si="25"/>
        <v>0</v>
      </c>
      <c r="K93" s="46">
        <f t="shared" si="25"/>
        <v>0</v>
      </c>
      <c r="L93" s="47">
        <f t="shared" si="25"/>
        <v>0</v>
      </c>
      <c r="M93" s="196">
        <v>1</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1</v>
      </c>
      <c r="C101" s="345"/>
      <c r="D101" s="60">
        <f>SUM(D92:D100)</f>
        <v>0</v>
      </c>
      <c r="E101" s="64">
        <f t="shared" ref="E101:L101" si="27">SUM(E92:E100)</f>
        <v>0</v>
      </c>
      <c r="F101" s="64">
        <f t="shared" si="27"/>
        <v>0</v>
      </c>
      <c r="G101" s="64">
        <f t="shared" si="27"/>
        <v>0</v>
      </c>
      <c r="H101" s="64">
        <f t="shared" si="27"/>
        <v>0</v>
      </c>
      <c r="I101" s="64">
        <f t="shared" si="27"/>
        <v>1</v>
      </c>
      <c r="J101" s="64">
        <f t="shared" si="27"/>
        <v>0</v>
      </c>
      <c r="K101" s="64">
        <f t="shared" si="27"/>
        <v>0</v>
      </c>
      <c r="L101" s="64">
        <f t="shared" si="27"/>
        <v>0</v>
      </c>
      <c r="M101" s="60">
        <f>SUM(M92:N100)</f>
        <v>1</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f t="shared" si="34"/>
        <v>0</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f>IF(M101=0, "", (SUMIFS(PendingLengthOfCase, PendingInternalDisposition, "&lt;&gt;Sustained", PendingCloseDate, "&gt;="&amp;$B$9, PendingCloseDate, "&lt;="&amp;$B$10) + SUMIFS(OpenedLengthOfCase, OpenedInternalDisposition, "&lt;&gt;Sustained", OpenedCloseDate, "&gt;="&amp;$B$9, OpenedCloseDate, "&lt;="&amp;$B$10)) / M101)</f>
        <v>0</v>
      </c>
    </row>
    <row r="120" spans="1:17" x14ac:dyDescent="0.25">
      <c r="A120" s="341" t="str">
        <f>$B$8&amp;": Cases Opened and Closed, Alleged Other Rule Violations"</f>
        <v>Q3: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Q3: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Q3: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Q3: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Q3: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pageSetUpPr fitToPage="1"/>
  </sheetPr>
  <dimension ref="A2:AE307"/>
  <sheetViews>
    <sheetView view="pageBreakPreview" topLeftCell="A85" zoomScale="78" zoomScaleNormal="100" zoomScaleSheetLayoutView="78" zoomScalePageLayoutView="60" workbookViewId="0">
      <selection activeCell="F16" sqref="F16:G1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311"/>
      <c r="C3" s="311"/>
      <c r="D3" s="311"/>
      <c r="E3" s="311"/>
      <c r="F3" s="311"/>
      <c r="G3" s="311"/>
      <c r="H3" s="311"/>
      <c r="I3" s="311"/>
      <c r="J3" s="311"/>
      <c r="K3" s="311"/>
      <c r="L3" s="311"/>
      <c r="M3" s="311"/>
      <c r="N3" s="311"/>
      <c r="O3" s="311"/>
      <c r="P3" s="311"/>
      <c r="Q3" s="311"/>
    </row>
    <row r="4" spans="1:17" ht="26.1" customHeight="1" x14ac:dyDescent="0.25">
      <c r="A4" s="311" t="s">
        <v>585</v>
      </c>
      <c r="B4" s="311"/>
      <c r="C4" s="311"/>
      <c r="D4" s="311"/>
      <c r="E4" s="311"/>
      <c r="F4" s="311"/>
      <c r="G4" s="311"/>
      <c r="H4" s="311"/>
      <c r="I4" s="311"/>
      <c r="J4" s="311"/>
      <c r="K4" s="311"/>
      <c r="L4" s="311"/>
      <c r="M4" s="311"/>
      <c r="N4" s="311"/>
      <c r="O4" s="311"/>
      <c r="P4" s="311"/>
      <c r="Q4" s="311"/>
    </row>
    <row r="5" spans="1:17" ht="17.649999999999999" customHeight="1" x14ac:dyDescent="0.25">
      <c r="A5" s="323" t="s">
        <v>632</v>
      </c>
      <c r="B5" s="323"/>
      <c r="C5" s="323"/>
      <c r="D5" s="323"/>
      <c r="E5" s="323"/>
      <c r="F5" s="323"/>
      <c r="G5" s="323"/>
      <c r="H5" s="323"/>
      <c r="I5" s="323"/>
      <c r="J5" s="323"/>
      <c r="K5" s="323"/>
      <c r="L5" s="323"/>
      <c r="M5" s="323"/>
      <c r="N5" s="323"/>
      <c r="O5" s="323"/>
      <c r="P5" s="323"/>
      <c r="Q5" s="323"/>
    </row>
    <row r="6" spans="1:17" ht="22.15" customHeight="1" x14ac:dyDescent="0.25">
      <c r="A6" s="323"/>
      <c r="B6" s="323"/>
      <c r="C6" s="323"/>
      <c r="D6" s="323"/>
      <c r="E6" s="323"/>
      <c r="F6" s="323"/>
      <c r="G6" s="323"/>
      <c r="H6" s="323"/>
      <c r="I6" s="323"/>
      <c r="J6" s="323"/>
      <c r="K6" s="323"/>
      <c r="L6" s="323"/>
      <c r="M6" s="323"/>
      <c r="N6" s="323"/>
      <c r="O6" s="323"/>
      <c r="P6" s="323"/>
      <c r="Q6" s="323"/>
    </row>
    <row r="7" spans="1:17" ht="15.75" thickBot="1" x14ac:dyDescent="0.3"/>
    <row r="8" spans="1:17" ht="36" x14ac:dyDescent="0.3">
      <c r="A8" s="230" t="s">
        <v>742</v>
      </c>
      <c r="B8" s="231" t="s">
        <v>746</v>
      </c>
      <c r="C8" s="292" t="str">
        <f>$B$8&amp;" Internal Affairs Summary"</f>
        <v>Q4 Internal Affairs Summary</v>
      </c>
      <c r="D8" s="292"/>
      <c r="E8" s="292"/>
      <c r="F8" s="292"/>
      <c r="G8" s="292"/>
      <c r="H8" s="292"/>
      <c r="I8" s="292"/>
      <c r="J8" s="292"/>
      <c r="K8" s="292"/>
      <c r="L8" s="292"/>
      <c r="M8" s="292"/>
      <c r="N8" s="292"/>
      <c r="O8" s="292"/>
    </row>
    <row r="9" spans="1:17" ht="33" customHeight="1" x14ac:dyDescent="0.3">
      <c r="A9" s="232" t="s">
        <v>619</v>
      </c>
      <c r="B9" s="233">
        <f>_xlfn.SWITCH($B$8, "Q1", DATE(M49, 1, 1), "Q2", DATE($M$49, 4, 1), "Q3", DATE($M$49, 7, 1), "Q4", DATE($M$49, 10, 1), DATE(M49, 1, 1))</f>
        <v>44835</v>
      </c>
      <c r="C9" s="346">
        <f>'Start Here'!$C$16</f>
        <v>2022</v>
      </c>
      <c r="D9" s="292"/>
      <c r="E9" s="292"/>
      <c r="F9" s="292"/>
      <c r="G9" s="292"/>
      <c r="H9" s="292"/>
      <c r="I9" s="292"/>
      <c r="J9" s="292"/>
      <c r="K9" s="292"/>
      <c r="L9" s="292"/>
      <c r="M9" s="292"/>
      <c r="N9" s="292"/>
      <c r="O9" s="292"/>
      <c r="P9" s="224"/>
      <c r="Q9" s="224"/>
    </row>
    <row r="10" spans="1:17" ht="21" customHeight="1" thickBot="1" x14ac:dyDescent="0.35">
      <c r="A10" s="234" t="s">
        <v>620</v>
      </c>
      <c r="B10" s="235">
        <f>_xlfn.SWITCH($B$8, "Q1", DATE(M49, 3, 31), "Q2", DATE($M$49, 6, 30), "Q3", DATE($M$49, 9, 30), "Q4", DATE($M$49, 12, 31), DATE($M$49, 12, 31))</f>
        <v>44926</v>
      </c>
      <c r="C10" s="347" t="str">
        <f>"Internal Affairs: "&amp;$B$8&amp;" Snapshot"</f>
        <v>Internal Affairs: Q4 Snapshot</v>
      </c>
      <c r="D10" s="348"/>
      <c r="E10" s="348"/>
      <c r="F10" s="348"/>
      <c r="G10" s="348"/>
      <c r="H10" s="348"/>
      <c r="I10" s="348"/>
      <c r="J10" s="348"/>
      <c r="K10" s="348"/>
      <c r="L10" s="348"/>
      <c r="M10" s="348"/>
      <c r="N10" s="348"/>
      <c r="O10" s="348"/>
      <c r="P10" s="224"/>
      <c r="Q10" s="224"/>
    </row>
    <row r="12" spans="1:17" ht="18.75" x14ac:dyDescent="0.3">
      <c r="A12" s="301" t="str">
        <f>"This sheet contains some top-line facts and figures for Internal Affairs cases closed in "&amp;$B$8&amp;"."</f>
        <v>This sheet contains some top-line facts and figures for Internal Affairs cases closed in Q4.</v>
      </c>
      <c r="B12" s="311"/>
      <c r="C12" s="311"/>
      <c r="D12" s="311"/>
      <c r="E12" s="311"/>
      <c r="F12" s="311"/>
      <c r="G12" s="311"/>
      <c r="H12" s="311"/>
      <c r="I12" s="311"/>
      <c r="J12" s="311"/>
      <c r="K12" s="311"/>
      <c r="L12" s="311"/>
      <c r="M12" s="311"/>
      <c r="N12" s="311"/>
      <c r="O12" s="311"/>
      <c r="P12" s="311"/>
      <c r="Q12" s="311"/>
    </row>
    <row r="13" spans="1:17" ht="18.75" x14ac:dyDescent="0.3">
      <c r="A13" s="301" t="s">
        <v>706</v>
      </c>
      <c r="B13" s="301"/>
      <c r="C13" s="301"/>
      <c r="D13" s="301"/>
      <c r="E13" s="301"/>
      <c r="F13" s="301"/>
      <c r="G13" s="301"/>
      <c r="H13" s="301"/>
      <c r="I13" s="301"/>
      <c r="J13" s="301"/>
      <c r="K13" s="301"/>
      <c r="L13" s="301"/>
      <c r="M13" s="301"/>
      <c r="N13" s="301"/>
      <c r="O13" s="301"/>
      <c r="P13" s="301"/>
      <c r="Q13" s="301"/>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296">
        <v>0</v>
      </c>
      <c r="G16" s="299"/>
      <c r="H16" s="297">
        <f t="shared" ref="H16:H24" si="0">COUNTIFS(PendingMSO,$E16,PendingMSOMatch,"Yes",PendingCloseDate,"&gt;="&amp;$B$9,PendingCloseDate,"&lt;="&amp;$B$10) + COUNTIFS(OpenedMSO,$E16,OpenedMSOMatch,"Yes",OpenedCloseDate,"&gt;="&amp;$B$9,OpenedCloseDate,"&lt;="&amp;$B$10)</f>
        <v>0</v>
      </c>
      <c r="I16" s="297"/>
      <c r="J16" s="297">
        <f t="shared" ref="J16:J24" si="1">COUNTIFS(PendingMSO,$E16,PendingMSOMatch, "No", PendingInternalDisposition, "Sustained", PendingCloseDate,"&gt;="&amp;$B$9,PendingCloseDate,"&lt;="&amp;$B$10) + COUNTIFS(OpenedMSO,$E16, OpenedMSOMatch, "No", OpenedInternalDisposition, "Sustained", OpenedCloseDate,"&gt;="&amp;$B$9,OpenedCloseDate,"&lt;="&amp;$B$10)</f>
        <v>0</v>
      </c>
      <c r="K16" s="297"/>
      <c r="L16" s="297">
        <f t="shared" ref="L16:L24" si="2">COUNTIFS(PendingMSO,$E16,PendingInternalDisposition, "&lt;&gt;Sustained", PendingCloseDate,"&gt;="&amp;$B$9,PendingCloseDate,"&lt;="&amp;$B$10) + COUNTIFS(OpenedMSO,$E16,OpenedInternalDisposition, "&lt;&gt;Sustained", OpenedCloseDate,"&gt;="&amp;$B$9,OpenedCloseDate,"&lt;="&amp;$B$10)</f>
        <v>0</v>
      </c>
      <c r="M16" s="297"/>
    </row>
    <row r="17" spans="3:16" ht="18.75" x14ac:dyDescent="0.3">
      <c r="C17" s="117"/>
      <c r="D17" s="117"/>
      <c r="E17" s="163" t="s">
        <v>651</v>
      </c>
      <c r="F17" s="302">
        <f t="shared" ref="F17:F24" si="3">COUNTIFS(PendingMSO,$E17,PendingCloseDate,"&gt;="&amp;$B$9,PendingCloseDate,"&lt;="&amp;$B$10) + COUNTIFS(OpenedMSO,$E17,OpenedCloseDate,"&gt;="&amp;$B$9,OpenedCloseDate,"&lt;="&amp;$B$10)</f>
        <v>0</v>
      </c>
      <c r="G17" s="274"/>
      <c r="H17" s="303">
        <f t="shared" si="0"/>
        <v>0</v>
      </c>
      <c r="I17" s="303"/>
      <c r="J17" s="303">
        <f t="shared" si="1"/>
        <v>0</v>
      </c>
      <c r="K17" s="303"/>
      <c r="L17" s="303">
        <f t="shared" si="2"/>
        <v>0</v>
      </c>
      <c r="M17" s="303"/>
    </row>
    <row r="18" spans="3:16" ht="18.75" x14ac:dyDescent="0.3">
      <c r="E18" s="164" t="s">
        <v>652</v>
      </c>
      <c r="F18" s="300">
        <f t="shared" si="3"/>
        <v>0</v>
      </c>
      <c r="G18" s="272"/>
      <c r="H18" s="301">
        <f t="shared" si="0"/>
        <v>0</v>
      </c>
      <c r="I18" s="301"/>
      <c r="J18" s="301">
        <f t="shared" si="1"/>
        <v>0</v>
      </c>
      <c r="K18" s="301"/>
      <c r="L18" s="301">
        <f t="shared" si="2"/>
        <v>0</v>
      </c>
      <c r="M18" s="301"/>
    </row>
    <row r="19" spans="3:16" ht="18.75" x14ac:dyDescent="0.3">
      <c r="C19" s="117"/>
      <c r="D19" s="117"/>
      <c r="E19" s="163" t="s">
        <v>653</v>
      </c>
      <c r="F19" s="302">
        <f t="shared" si="3"/>
        <v>0</v>
      </c>
      <c r="G19" s="274"/>
      <c r="H19" s="303">
        <f t="shared" si="0"/>
        <v>0</v>
      </c>
      <c r="I19" s="303"/>
      <c r="J19" s="303">
        <f t="shared" si="1"/>
        <v>0</v>
      </c>
      <c r="K19" s="303"/>
      <c r="L19" s="303">
        <f t="shared" si="2"/>
        <v>0</v>
      </c>
      <c r="M19" s="303"/>
    </row>
    <row r="20" spans="3:16" ht="18.75" x14ac:dyDescent="0.3">
      <c r="E20" s="164" t="s">
        <v>654</v>
      </c>
      <c r="F20" s="300">
        <f t="shared" si="3"/>
        <v>0</v>
      </c>
      <c r="G20" s="272"/>
      <c r="H20" s="301">
        <f t="shared" si="0"/>
        <v>0</v>
      </c>
      <c r="I20" s="301"/>
      <c r="J20" s="301">
        <f t="shared" si="1"/>
        <v>0</v>
      </c>
      <c r="K20" s="301"/>
      <c r="L20" s="301">
        <f t="shared" si="2"/>
        <v>0</v>
      </c>
      <c r="M20" s="301"/>
    </row>
    <row r="21" spans="3:16" ht="18.75" x14ac:dyDescent="0.3">
      <c r="C21" s="117"/>
      <c r="D21" s="117"/>
      <c r="E21" s="163" t="s">
        <v>655</v>
      </c>
      <c r="F21" s="302">
        <f t="shared" si="3"/>
        <v>0</v>
      </c>
      <c r="G21" s="274"/>
      <c r="H21" s="303">
        <f t="shared" si="0"/>
        <v>0</v>
      </c>
      <c r="I21" s="303"/>
      <c r="J21" s="303">
        <f t="shared" si="1"/>
        <v>0</v>
      </c>
      <c r="K21" s="303"/>
      <c r="L21" s="303">
        <f t="shared" si="2"/>
        <v>0</v>
      </c>
      <c r="M21" s="303"/>
    </row>
    <row r="22" spans="3:16" ht="18.75" x14ac:dyDescent="0.3">
      <c r="E22" s="164" t="s">
        <v>656</v>
      </c>
      <c r="F22" s="300">
        <f t="shared" si="3"/>
        <v>0</v>
      </c>
      <c r="G22" s="272"/>
      <c r="H22" s="301">
        <f t="shared" si="0"/>
        <v>0</v>
      </c>
      <c r="I22" s="301"/>
      <c r="J22" s="301">
        <f t="shared" si="1"/>
        <v>0</v>
      </c>
      <c r="K22" s="301"/>
      <c r="L22" s="301">
        <f t="shared" si="2"/>
        <v>0</v>
      </c>
      <c r="M22" s="301"/>
    </row>
    <row r="23" spans="3:16" ht="18.75" x14ac:dyDescent="0.3">
      <c r="C23" s="117"/>
      <c r="D23" s="117"/>
      <c r="E23" s="163" t="s">
        <v>5</v>
      </c>
      <c r="F23" s="302">
        <f t="shared" si="3"/>
        <v>0</v>
      </c>
      <c r="G23" s="274"/>
      <c r="H23" s="303">
        <f t="shared" si="0"/>
        <v>0</v>
      </c>
      <c r="I23" s="303"/>
      <c r="J23" s="303">
        <f t="shared" si="1"/>
        <v>0</v>
      </c>
      <c r="K23" s="303"/>
      <c r="L23" s="303">
        <f t="shared" si="2"/>
        <v>0</v>
      </c>
      <c r="M23" s="303"/>
    </row>
    <row r="24" spans="3:16" ht="18.75" x14ac:dyDescent="0.3">
      <c r="E24" s="164" t="s">
        <v>657</v>
      </c>
      <c r="F24" s="300">
        <f t="shared" si="3"/>
        <v>0</v>
      </c>
      <c r="G24" s="272"/>
      <c r="H24" s="301">
        <f t="shared" si="0"/>
        <v>0</v>
      </c>
      <c r="I24" s="301"/>
      <c r="J24" s="301">
        <f t="shared" si="1"/>
        <v>0</v>
      </c>
      <c r="K24" s="301"/>
      <c r="L24" s="301">
        <f t="shared" si="2"/>
        <v>0</v>
      </c>
      <c r="M24" s="301"/>
    </row>
    <row r="25" spans="3:16" ht="18.75" x14ac:dyDescent="0.3">
      <c r="C25" s="132"/>
      <c r="D25" s="132"/>
      <c r="E25" s="165" t="s">
        <v>615</v>
      </c>
      <c r="F25" s="308">
        <f>SUM(F16:F24)</f>
        <v>0</v>
      </c>
      <c r="G25" s="309"/>
      <c r="H25" s="310">
        <f t="shared" ref="H25" si="4">SUM(H16:H24)</f>
        <v>0</v>
      </c>
      <c r="I25" s="310"/>
      <c r="J25" s="310">
        <f>SUM(J16:J24)</f>
        <v>0</v>
      </c>
      <c r="K25" s="310"/>
      <c r="L25" s="310">
        <f>SUM(L16:L24)</f>
        <v>0</v>
      </c>
      <c r="M25" s="310"/>
    </row>
    <row r="28" spans="3:16" ht="21" x14ac:dyDescent="0.35">
      <c r="F28" s="293" t="str">
        <f>"Distribution of sources for complaints closed in "&amp;$B$8</f>
        <v>Distribution of sources for complaints closed in Q4</v>
      </c>
      <c r="G28" s="293"/>
      <c r="H28" s="293"/>
      <c r="I28" s="293"/>
      <c r="J28" s="293"/>
      <c r="K28" s="293"/>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4" t="s">
        <v>26</v>
      </c>
      <c r="G30" s="294"/>
      <c r="H30" s="295" t="s">
        <v>28</v>
      </c>
      <c r="I30" s="295"/>
      <c r="J30" s="294" t="s">
        <v>27</v>
      </c>
      <c r="K30" s="294"/>
      <c r="L30" s="184"/>
      <c r="M30" s="184"/>
      <c r="N30" s="184"/>
      <c r="O30" s="184"/>
      <c r="P30" s="184"/>
    </row>
    <row r="31" spans="3:16" ht="18.75" x14ac:dyDescent="0.3">
      <c r="E31" s="226" t="s">
        <v>710</v>
      </c>
      <c r="F31" s="296">
        <f>COUNTIFS(PendingComplaintSource, F30, PendingCloseDate,"&gt;="&amp;$B$9,PendingCloseDate,"&lt;="&amp;$B$10) + COUNTIFS(OpenedComplaintSource, F30, OpenedCloseDate,"&gt;="&amp;$B$9,OpenedCloseDate,"&lt;="&amp;$B$10)</f>
        <v>0</v>
      </c>
      <c r="G31" s="297"/>
      <c r="H31" s="298">
        <f>COUNTIFS(PendingComplaintSource, H30, PendingCloseDate,"&gt;="&amp;$B$9,PendingCloseDate,"&lt;="&amp;$B$10) + COUNTIFS(OpenedComplaintSource, H30, OpenedCloseDate,"&gt;="&amp;$B$9,OpenedCloseDate,"&lt;="&amp;$B$10)</f>
        <v>0</v>
      </c>
      <c r="I31" s="298"/>
      <c r="J31" s="297">
        <f>COUNTIFS(PendingComplaintSource, J30, PendingCloseDate,"&gt;="&amp;$B$9,PendingCloseDate,"&lt;="&amp;$B$10) + COUNTIFS(OpenedComplaintSource, J30, OpenedCloseDate,"&gt;="&amp;$B$9,OpenedCloseDate,"&lt;="&amp;$B$10)</f>
        <v>0</v>
      </c>
      <c r="K31" s="299"/>
      <c r="L31" s="184"/>
      <c r="M31" s="184"/>
      <c r="N31" s="184"/>
      <c r="O31" s="184"/>
      <c r="P31" s="184"/>
    </row>
    <row r="32" spans="3:16" ht="18.75" x14ac:dyDescent="0.3">
      <c r="E32" s="228" t="s">
        <v>711</v>
      </c>
      <c r="F32" s="304" t="str">
        <f t="shared" ref="F32" si="5">IF(SUM($F31:$J31)=0, "", F31/SUM($F31:$J31))</f>
        <v/>
      </c>
      <c r="G32" s="305"/>
      <c r="H32" s="306" t="str">
        <f t="shared" ref="H32" si="6">IF(SUM($F31:$J31)=0, "", H31/SUM($F31:$J31))</f>
        <v/>
      </c>
      <c r="I32" s="306"/>
      <c r="J32" s="305" t="str">
        <f>IF(SUM($F31:$J31)=0, "", J31/SUM($F31:$J31))</f>
        <v/>
      </c>
      <c r="K32" s="307"/>
    </row>
    <row r="33" spans="1:17" ht="15.75" thickBot="1" x14ac:dyDescent="0.3"/>
    <row r="34" spans="1:17" ht="36.75" customHeight="1" x14ac:dyDescent="0.3">
      <c r="C34" s="268" t="str">
        <f>"Frequency of discipline by type for complaints closed in "&amp;$B$8</f>
        <v>Frequency of discipline by type for complaints closed in Q4</v>
      </c>
      <c r="D34" s="268"/>
      <c r="E34" s="268"/>
      <c r="F34" s="268"/>
      <c r="G34" s="208"/>
      <c r="I34" s="252" t="str">
        <f>$B$8&amp;" Summary"</f>
        <v>Q4 Summary</v>
      </c>
      <c r="J34" s="252"/>
      <c r="K34" s="252"/>
      <c r="M34" s="283" t="s">
        <v>625</v>
      </c>
      <c r="N34" s="284"/>
      <c r="O34" s="284"/>
      <c r="P34" s="285"/>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7" t="s">
        <v>621</v>
      </c>
      <c r="J35" s="278"/>
      <c r="K35" s="281">
        <f>SUM($B$67:$D$67)</f>
        <v>0</v>
      </c>
      <c r="M35" s="286"/>
      <c r="N35" s="287"/>
      <c r="O35" s="287"/>
      <c r="P35" s="288"/>
    </row>
    <row r="36" spans="1:17" ht="18.75" x14ac:dyDescent="0.3">
      <c r="B36" s="117"/>
      <c r="C36" s="117"/>
      <c r="D36" s="117"/>
      <c r="E36" s="210"/>
      <c r="F36" s="163" t="s">
        <v>664</v>
      </c>
      <c r="G36" s="210">
        <f t="shared" si="7"/>
        <v>0</v>
      </c>
      <c r="I36" s="279"/>
      <c r="J36" s="280"/>
      <c r="K36" s="282"/>
      <c r="M36" s="286"/>
      <c r="N36" s="287"/>
      <c r="O36" s="287"/>
      <c r="P36" s="288"/>
    </row>
    <row r="37" spans="1:17" ht="18.75" customHeight="1" x14ac:dyDescent="0.3">
      <c r="E37" s="209"/>
      <c r="F37" s="164" t="s">
        <v>665</v>
      </c>
      <c r="G37" s="209">
        <f t="shared" si="7"/>
        <v>0</v>
      </c>
      <c r="I37" s="269" t="s">
        <v>643</v>
      </c>
      <c r="J37" s="270"/>
      <c r="K37" s="211">
        <f>SUM($E$67:$G$67)</f>
        <v>0</v>
      </c>
      <c r="M37" s="286"/>
      <c r="N37" s="287"/>
      <c r="O37" s="287"/>
      <c r="P37" s="288"/>
    </row>
    <row r="38" spans="1:17" ht="18.75" x14ac:dyDescent="0.3">
      <c r="B38" s="117"/>
      <c r="C38" s="117"/>
      <c r="D38" s="117"/>
      <c r="E38" s="210"/>
      <c r="F38" s="163" t="s">
        <v>666</v>
      </c>
      <c r="G38" s="210">
        <f t="shared" si="7"/>
        <v>0</v>
      </c>
      <c r="I38" s="271" t="s">
        <v>622</v>
      </c>
      <c r="J38" s="272"/>
      <c r="K38" s="212">
        <f>$B$82</f>
        <v>0</v>
      </c>
      <c r="M38" s="286"/>
      <c r="N38" s="287"/>
      <c r="O38" s="287"/>
      <c r="P38" s="288"/>
    </row>
    <row r="39" spans="1:17" ht="18.75" x14ac:dyDescent="0.3">
      <c r="E39" s="209"/>
      <c r="F39" s="164" t="s">
        <v>667</v>
      </c>
      <c r="G39" s="209">
        <f t="shared" si="7"/>
        <v>0</v>
      </c>
      <c r="I39" s="273" t="s">
        <v>623</v>
      </c>
      <c r="J39" s="274"/>
      <c r="K39" s="211">
        <f>COUNTIFS(OpenedInternalDisposition, "Sustained", OpenedCloseDate,"&gt;="&amp;$B$9, OpenedCloseDate, "&lt;="&amp;$B$10, OpenedStatus, "Closed")+COUNTIFS(PendingInternalDisposition, "Sustained", PendingCloseDate, "&gt;="&amp;$B$9, PendingCloseDate, "&lt;="&amp;$B$10, PendingStatus,"Closed")</f>
        <v>0</v>
      </c>
      <c r="M39" s="286"/>
      <c r="N39" s="287"/>
      <c r="O39" s="287"/>
      <c r="P39" s="288"/>
    </row>
    <row r="40" spans="1:17" ht="18.75" x14ac:dyDescent="0.3">
      <c r="B40" s="117"/>
      <c r="C40" s="117"/>
      <c r="D40" s="117"/>
      <c r="E40" s="210"/>
      <c r="F40" s="163" t="s">
        <v>668</v>
      </c>
      <c r="G40" s="210">
        <f t="shared" si="7"/>
        <v>0</v>
      </c>
      <c r="I40" s="275" t="s">
        <v>618</v>
      </c>
      <c r="J40" s="276"/>
      <c r="K40" s="212">
        <f>COUNTIFS(PendingInternalDisposition, "&lt;&gt;Sustained", PendingCloseDate, "&gt;="&amp;$B$9, PendingCloseDate, "&lt;="&amp;$B$10, PendingStatus, "Closed")+COUNTIFS(OpenedInternalDisposition, "&lt;&gt;Sustained", OpenedCloseDate, "&gt;="&amp;$B$9, OpenedCloseDate, "&lt;="&amp;$B$10, OpenedStatus, "Closed")</f>
        <v>0</v>
      </c>
      <c r="M40" s="286"/>
      <c r="N40" s="287"/>
      <c r="O40" s="287"/>
      <c r="P40" s="288"/>
    </row>
    <row r="41" spans="1:17" ht="18.75" x14ac:dyDescent="0.3">
      <c r="E41" s="209"/>
      <c r="F41" s="164" t="s">
        <v>693</v>
      </c>
      <c r="G41" s="209">
        <f t="shared" si="7"/>
        <v>0</v>
      </c>
      <c r="I41" s="273" t="s">
        <v>644</v>
      </c>
      <c r="J41" s="274"/>
      <c r="K41" s="211">
        <f>COUNTIFS(PendingStatus, "Closed", PendingCloseDate, "&gt;="&amp;$B$9, PendingCloseDate, "&lt;="&amp;$B$10, PendingLengthOfCase, "&gt;180") + COUNTIFS(OpenedStatus, "Closed", OpenedCloseDate, "&gt;="&amp;$B$9, OpenedCloseDate, "&lt;="&amp;$B$10, OpenedLengthOfCase, "&gt;180")</f>
        <v>0</v>
      </c>
      <c r="M41" s="286"/>
      <c r="N41" s="287"/>
      <c r="O41" s="287"/>
      <c r="P41" s="288"/>
    </row>
    <row r="42" spans="1:17" ht="18.75" customHeight="1" x14ac:dyDescent="0.3">
      <c r="B42" s="117"/>
      <c r="C42" s="117"/>
      <c r="D42" s="117"/>
      <c r="E42" s="210"/>
      <c r="F42" s="163" t="s">
        <v>669</v>
      </c>
      <c r="G42" s="210">
        <f t="shared" si="7"/>
        <v>0</v>
      </c>
      <c r="I42" s="279" t="str">
        <f>"Total Pending  at end of "&amp;$B$8</f>
        <v>Total Pending  at end of Q4</v>
      </c>
      <c r="J42" s="280"/>
      <c r="K42" s="282">
        <f>(SUM(K35:K37))-K38</f>
        <v>0</v>
      </c>
      <c r="M42" s="286"/>
      <c r="N42" s="287"/>
      <c r="O42" s="287"/>
      <c r="P42" s="288"/>
    </row>
    <row r="43" spans="1:17" ht="18.75" x14ac:dyDescent="0.3">
      <c r="E43" s="209"/>
      <c r="F43" s="164" t="s">
        <v>670</v>
      </c>
      <c r="G43" s="209">
        <f t="shared" si="7"/>
        <v>0</v>
      </c>
      <c r="I43" s="279"/>
      <c r="J43" s="280"/>
      <c r="K43" s="282"/>
      <c r="M43" s="286"/>
      <c r="N43" s="287"/>
      <c r="O43" s="287"/>
      <c r="P43" s="288"/>
    </row>
    <row r="44" spans="1:17" ht="19.5" thickBot="1" x14ac:dyDescent="0.35">
      <c r="B44" s="117"/>
      <c r="C44" s="117"/>
      <c r="D44" s="117"/>
      <c r="E44" s="210"/>
      <c r="F44" s="163" t="s">
        <v>671</v>
      </c>
      <c r="G44" s="210">
        <f t="shared" si="7"/>
        <v>0</v>
      </c>
      <c r="I44" s="125"/>
      <c r="J44" s="125"/>
      <c r="K44" s="125"/>
      <c r="M44" s="289"/>
      <c r="N44" s="290"/>
      <c r="O44" s="290"/>
      <c r="P44" s="291"/>
    </row>
    <row r="45" spans="1:17" ht="18.75" x14ac:dyDescent="0.3">
      <c r="B45" s="125"/>
      <c r="C45" s="125"/>
      <c r="D45" s="125"/>
      <c r="E45" s="125"/>
      <c r="F45" s="170" t="s">
        <v>615</v>
      </c>
      <c r="G45" s="171">
        <f>SUM(G35:G44)</f>
        <v>0</v>
      </c>
    </row>
    <row r="48" spans="1:17" x14ac:dyDescent="0.25">
      <c r="A48" s="1"/>
      <c r="K48" s="244" t="s">
        <v>33</v>
      </c>
      <c r="L48" s="244"/>
      <c r="M48" s="245" t="str">
        <f>'Start Here'!C$13</f>
        <v>Chesterfield Twp PD, Burlington Co.</v>
      </c>
      <c r="N48" s="245"/>
      <c r="O48" s="245"/>
      <c r="P48" s="245"/>
      <c r="Q48" s="245"/>
    </row>
    <row r="49" spans="1:31" x14ac:dyDescent="0.25">
      <c r="A49" s="1"/>
      <c r="K49" s="244" t="s">
        <v>34</v>
      </c>
      <c r="L49" s="24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1" t="str">
        <f>$B$8&amp;": Cases Opened and Closed, All Allegations"</f>
        <v>Q4: Cases Opened and Closed, All Allegations</v>
      </c>
      <c r="B52" s="341"/>
      <c r="C52" s="341"/>
      <c r="D52" s="341"/>
      <c r="E52" s="341"/>
      <c r="F52" s="341"/>
      <c r="G52" s="341"/>
      <c r="H52" s="341"/>
      <c r="I52" s="341"/>
      <c r="J52" s="341"/>
      <c r="K52" s="341"/>
      <c r="L52" s="341"/>
      <c r="M52" s="341"/>
      <c r="N52" s="341"/>
      <c r="O52" s="341"/>
      <c r="P52" s="341"/>
      <c r="Q52" s="341"/>
    </row>
    <row r="53" spans="1:31" ht="14.65" customHeight="1" x14ac:dyDescent="0.25">
      <c r="A53" s="341"/>
      <c r="B53" s="341"/>
      <c r="C53" s="341"/>
      <c r="D53" s="341"/>
      <c r="E53" s="341"/>
      <c r="F53" s="341"/>
      <c r="G53" s="341"/>
      <c r="H53" s="341"/>
      <c r="I53" s="341"/>
      <c r="J53" s="341"/>
      <c r="K53" s="341"/>
      <c r="L53" s="341"/>
      <c r="M53" s="341"/>
      <c r="N53" s="341"/>
      <c r="O53" s="341"/>
      <c r="P53" s="341"/>
      <c r="Q53" s="341"/>
    </row>
    <row r="54" spans="1:31" ht="21" x14ac:dyDescent="0.25">
      <c r="A54" s="264" t="s">
        <v>714</v>
      </c>
      <c r="B54" s="264"/>
      <c r="C54" s="264"/>
      <c r="D54" s="264"/>
      <c r="E54" s="264"/>
      <c r="F54" s="264"/>
      <c r="G54" s="264"/>
      <c r="H54" s="264"/>
      <c r="I54" s="264"/>
      <c r="J54" s="264"/>
      <c r="K54" s="68"/>
      <c r="L54" s="68"/>
      <c r="M54" s="68"/>
      <c r="N54" s="68"/>
      <c r="O54" s="68"/>
      <c r="P54" s="68"/>
      <c r="Q54" s="68"/>
    </row>
    <row r="55" spans="1:31" ht="15.75" thickBot="1" x14ac:dyDescent="0.3">
      <c r="B55" s="317" t="s">
        <v>25</v>
      </c>
      <c r="C55" s="317"/>
      <c r="D55" s="317"/>
      <c r="E55" s="317"/>
      <c r="F55" s="317"/>
      <c r="G55" s="317"/>
      <c r="H55" s="317"/>
      <c r="I55" s="317"/>
      <c r="J55" s="317"/>
      <c r="K55" s="66"/>
      <c r="L55" s="66"/>
      <c r="M55" s="66"/>
      <c r="N55" s="66"/>
      <c r="O55" s="43"/>
      <c r="P55" s="2"/>
    </row>
    <row r="56" spans="1:31" ht="26.25" customHeight="1" x14ac:dyDescent="0.25">
      <c r="B56" s="329" t="s">
        <v>32</v>
      </c>
      <c r="C56" s="329"/>
      <c r="D56" s="329"/>
      <c r="E56" s="342" t="s">
        <v>624</v>
      </c>
      <c r="F56" s="337"/>
      <c r="G56" s="337"/>
      <c r="H56" s="349" t="s">
        <v>646</v>
      </c>
      <c r="I56" s="350"/>
      <c r="J56" s="350"/>
      <c r="K56" s="66"/>
      <c r="L56" s="66"/>
      <c r="N56" s="253" t="s">
        <v>716</v>
      </c>
      <c r="O56" s="254"/>
      <c r="P56" s="255"/>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6"/>
      <c r="O57" s="257"/>
      <c r="P57" s="258"/>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6"/>
      <c r="O58" s="257"/>
      <c r="P58" s="258"/>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6"/>
      <c r="O59" s="257"/>
      <c r="P59" s="258"/>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6"/>
      <c r="O60" s="257"/>
      <c r="P60" s="258"/>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6"/>
      <c r="O61" s="257"/>
      <c r="P61" s="258"/>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6"/>
      <c r="O62" s="257"/>
      <c r="P62" s="258"/>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6"/>
      <c r="O63" s="257"/>
      <c r="P63" s="258"/>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6"/>
      <c r="O64" s="257"/>
      <c r="P64" s="258"/>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6"/>
      <c r="O65" s="257"/>
      <c r="P65" s="258"/>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59"/>
      <c r="O66" s="260"/>
      <c r="P66" s="261"/>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4" t="s">
        <v>715</v>
      </c>
      <c r="B70" s="264"/>
      <c r="C70" s="264"/>
      <c r="D70" s="264"/>
      <c r="E70" s="264"/>
      <c r="F70" s="264"/>
      <c r="G70" s="264"/>
      <c r="H70" s="264"/>
      <c r="I70" s="264"/>
      <c r="J70" s="264"/>
      <c r="K70" s="264"/>
      <c r="L70" s="264"/>
      <c r="M70" s="264"/>
      <c r="N70" s="264"/>
      <c r="O70" s="264"/>
      <c r="P70" s="264"/>
      <c r="Q70" s="264"/>
    </row>
    <row r="71" spans="1:31" x14ac:dyDescent="0.25">
      <c r="B71" s="316" t="s">
        <v>634</v>
      </c>
      <c r="C71" s="317"/>
      <c r="D71" s="318"/>
      <c r="E71" s="316" t="s">
        <v>25</v>
      </c>
      <c r="F71" s="317"/>
      <c r="G71" s="318"/>
      <c r="H71" s="328" t="s">
        <v>614</v>
      </c>
      <c r="I71" s="326"/>
      <c r="J71" s="326"/>
      <c r="K71" s="327"/>
      <c r="L71" s="316" t="s">
        <v>605</v>
      </c>
      <c r="M71" s="317"/>
      <c r="N71" s="317"/>
      <c r="O71" s="317"/>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1" t="str">
        <f>$B$8&amp;": Cases Closed, All Allegations"</f>
        <v>Q4: Cases Closed, All Allegations</v>
      </c>
      <c r="B86" s="341"/>
      <c r="C86" s="341"/>
      <c r="D86" s="341"/>
      <c r="E86" s="341"/>
      <c r="F86" s="341"/>
      <c r="G86" s="341"/>
      <c r="H86" s="341"/>
      <c r="I86" s="341"/>
      <c r="J86" s="341"/>
      <c r="K86" s="341"/>
      <c r="L86" s="341"/>
      <c r="M86" s="341"/>
      <c r="N86" s="341"/>
      <c r="O86" s="341"/>
      <c r="P86" s="341"/>
      <c r="Q86" s="341"/>
      <c r="R86" s="156"/>
      <c r="S86" s="156"/>
      <c r="T86" s="156"/>
    </row>
    <row r="87" spans="1:20" ht="14.65" customHeight="1" x14ac:dyDescent="0.35">
      <c r="A87" s="341"/>
      <c r="B87" s="341"/>
      <c r="C87" s="341"/>
      <c r="D87" s="341"/>
      <c r="E87" s="341"/>
      <c r="F87" s="341"/>
      <c r="G87" s="341"/>
      <c r="H87" s="341"/>
      <c r="I87" s="341"/>
      <c r="J87" s="341"/>
      <c r="K87" s="341"/>
      <c r="L87" s="341"/>
      <c r="M87" s="341"/>
      <c r="N87" s="341"/>
      <c r="O87" s="341"/>
      <c r="P87" s="341"/>
      <c r="Q87" s="341"/>
      <c r="R87" s="156"/>
      <c r="S87" s="156"/>
      <c r="T87" s="156"/>
    </row>
    <row r="88" spans="1:20" ht="14.25" customHeight="1" x14ac:dyDescent="0.25">
      <c r="A88" s="264" t="s">
        <v>616</v>
      </c>
      <c r="B88" s="264"/>
      <c r="C88" s="264"/>
      <c r="D88" s="264"/>
      <c r="E88" s="264"/>
      <c r="F88" s="264"/>
      <c r="G88" s="264"/>
      <c r="H88" s="264"/>
      <c r="I88" s="264"/>
      <c r="J88" s="264"/>
      <c r="K88" s="264"/>
      <c r="L88" s="264"/>
      <c r="M88" s="264"/>
      <c r="N88" s="244" t="s">
        <v>33</v>
      </c>
      <c r="O88" s="244"/>
      <c r="P88" s="245">
        <f>'Start Here'!F$13</f>
        <v>0</v>
      </c>
      <c r="Q88" s="245"/>
    </row>
    <row r="89" spans="1:20" ht="14.65" customHeight="1" x14ac:dyDescent="0.25">
      <c r="A89" s="264"/>
      <c r="B89" s="264"/>
      <c r="C89" s="264"/>
      <c r="D89" s="264"/>
      <c r="E89" s="264"/>
      <c r="F89" s="264"/>
      <c r="G89" s="264"/>
      <c r="H89" s="264"/>
      <c r="I89" s="264"/>
      <c r="J89" s="264"/>
      <c r="K89" s="264"/>
      <c r="L89" s="264"/>
      <c r="M89" s="264"/>
      <c r="N89" s="244" t="s">
        <v>34</v>
      </c>
      <c r="O89" s="244"/>
      <c r="P89" s="227">
        <f>'Start Here'!$C$16</f>
        <v>2022</v>
      </c>
    </row>
    <row r="90" spans="1:20" ht="15" customHeight="1" x14ac:dyDescent="0.25">
      <c r="A90" s="354" t="s">
        <v>713</v>
      </c>
      <c r="B90" s="257" t="s">
        <v>617</v>
      </c>
      <c r="C90" s="355"/>
      <c r="D90" s="316" t="s">
        <v>735</v>
      </c>
      <c r="E90" s="317"/>
      <c r="F90" s="317"/>
      <c r="G90" s="317"/>
      <c r="H90" s="317"/>
      <c r="I90" s="317"/>
      <c r="J90" s="317"/>
      <c r="K90" s="317"/>
      <c r="L90" s="318"/>
      <c r="M90" s="257" t="s">
        <v>618</v>
      </c>
    </row>
    <row r="91" spans="1:20" ht="51.75" customHeight="1" x14ac:dyDescent="0.25">
      <c r="A91" s="338"/>
      <c r="B91" s="338"/>
      <c r="C91" s="356"/>
      <c r="D91" s="203" t="s">
        <v>11</v>
      </c>
      <c r="E91" s="79" t="s">
        <v>10</v>
      </c>
      <c r="F91" s="79" t="s">
        <v>9</v>
      </c>
      <c r="G91" s="79" t="s">
        <v>8</v>
      </c>
      <c r="H91" s="79" t="s">
        <v>719</v>
      </c>
      <c r="I91" s="79" t="s">
        <v>6</v>
      </c>
      <c r="J91" s="79" t="s">
        <v>5</v>
      </c>
      <c r="K91" s="79" t="s">
        <v>4</v>
      </c>
      <c r="L91" s="85" t="s">
        <v>712</v>
      </c>
      <c r="M91" s="338"/>
      <c r="R91" s="10"/>
    </row>
    <row r="92" spans="1:20" ht="15" customHeight="1" x14ac:dyDescent="0.25">
      <c r="A92" s="97" t="s">
        <v>658</v>
      </c>
      <c r="B92" s="339">
        <f t="shared" ref="B92:B100" si="24">COUNTIFS(PendingMSO, $A92, PendingCloseDate, "&gt;="&amp;$B$9, PendingCloseDate, "&lt;="&amp;$B$10, PendingStatus, "Closed")+COUNTIFS(OpenedMSO, $A92, OpenedCloseDate, "&gt;="&amp;$B$9, OpenedCloseDate,"&lt;="&amp;$B$10, OpenedStatus, "Closed")</f>
        <v>0</v>
      </c>
      <c r="C92" s="340"/>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5">
        <f t="shared" si="24"/>
        <v>0</v>
      </c>
      <c r="C93" s="336"/>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7">
        <f t="shared" si="24"/>
        <v>0</v>
      </c>
      <c r="C94" s="330"/>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5">
        <f t="shared" si="24"/>
        <v>0</v>
      </c>
      <c r="C95" s="336"/>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7">
        <f t="shared" si="24"/>
        <v>0</v>
      </c>
      <c r="C96" s="330"/>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5">
        <f t="shared" si="24"/>
        <v>0</v>
      </c>
      <c r="C97" s="336"/>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7">
        <f t="shared" si="24"/>
        <v>0</v>
      </c>
      <c r="C98" s="330"/>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5">
        <f t="shared" si="24"/>
        <v>0</v>
      </c>
      <c r="C99" s="336"/>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3">
        <f t="shared" si="24"/>
        <v>0</v>
      </c>
      <c r="C100" s="344"/>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5">
        <f>SUM(B92:C100)</f>
        <v>0</v>
      </c>
      <c r="C101" s="345"/>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3" t="s">
        <v>717</v>
      </c>
      <c r="B102" s="263"/>
      <c r="C102" s="263"/>
      <c r="D102" s="263"/>
      <c r="E102" s="263"/>
      <c r="F102" s="263"/>
      <c r="G102" s="263"/>
      <c r="H102" s="263"/>
      <c r="I102" s="263"/>
      <c r="J102" s="263"/>
      <c r="K102" s="263"/>
      <c r="L102" s="263"/>
      <c r="M102" s="263"/>
      <c r="N102" s="263"/>
      <c r="O102" s="263"/>
      <c r="P102" s="263"/>
      <c r="Q102" s="263"/>
    </row>
    <row r="103" spans="1:19" x14ac:dyDescent="0.25">
      <c r="A103" s="263" t="s">
        <v>718</v>
      </c>
      <c r="B103" s="263"/>
      <c r="C103" s="263"/>
      <c r="D103" s="263"/>
      <c r="E103" s="263"/>
      <c r="F103" s="263"/>
      <c r="G103" s="263"/>
      <c r="H103" s="263"/>
      <c r="I103" s="263"/>
      <c r="J103" s="263"/>
      <c r="K103" s="263"/>
      <c r="L103" s="263"/>
      <c r="M103" s="263"/>
      <c r="N103" s="263"/>
      <c r="O103" s="263"/>
      <c r="P103" s="263"/>
      <c r="Q103" s="263"/>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1" t="s">
        <v>645</v>
      </c>
      <c r="C106" s="331"/>
      <c r="D106" s="331"/>
      <c r="E106" s="332" t="s">
        <v>635</v>
      </c>
      <c r="F106" s="333"/>
      <c r="G106" s="333"/>
      <c r="H106" s="332" t="s">
        <v>631</v>
      </c>
      <c r="I106" s="333"/>
      <c r="J106" s="334"/>
      <c r="K106" s="265" t="s">
        <v>730</v>
      </c>
      <c r="L106" s="265"/>
    </row>
    <row r="107" spans="1:19" ht="30.75" customHeight="1" x14ac:dyDescent="0.25">
      <c r="B107" s="352" t="s">
        <v>25</v>
      </c>
      <c r="C107" s="353"/>
      <c r="D107" s="353"/>
      <c r="E107" s="352" t="s">
        <v>25</v>
      </c>
      <c r="F107" s="353"/>
      <c r="G107" s="353"/>
      <c r="H107" s="76"/>
      <c r="I107" s="229" t="s">
        <v>25</v>
      </c>
      <c r="J107" s="191"/>
      <c r="K107" s="266" t="s">
        <v>637</v>
      </c>
      <c r="L107" s="267"/>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1" t="str">
        <f>$B$8&amp;": Cases Opened and Closed, Alleged Other Rule Violations"</f>
        <v>Q4: Cases Opened and Closed, Alleged Other Rule Violations</v>
      </c>
      <c r="B120" s="341"/>
      <c r="C120" s="341"/>
      <c r="D120" s="341"/>
      <c r="E120" s="341"/>
      <c r="F120" s="341"/>
      <c r="G120" s="341"/>
      <c r="H120" s="341"/>
      <c r="I120" s="341"/>
      <c r="J120" s="341"/>
      <c r="K120" s="341"/>
      <c r="L120" s="341"/>
      <c r="M120" s="341"/>
      <c r="N120" s="341"/>
      <c r="O120" s="341"/>
      <c r="P120" s="341"/>
      <c r="Q120" s="341"/>
    </row>
    <row r="121" spans="1:17" x14ac:dyDescent="0.25">
      <c r="A121" s="341"/>
      <c r="B121" s="341"/>
      <c r="C121" s="341"/>
      <c r="D121" s="341"/>
      <c r="E121" s="341"/>
      <c r="F121" s="341"/>
      <c r="G121" s="341"/>
      <c r="H121" s="341"/>
      <c r="I121" s="341"/>
      <c r="J121" s="341"/>
      <c r="K121" s="341"/>
      <c r="L121" s="341"/>
      <c r="M121" s="341"/>
      <c r="N121" s="341"/>
      <c r="O121" s="341"/>
      <c r="P121" s="341"/>
      <c r="Q121" s="341"/>
    </row>
    <row r="122" spans="1:17" ht="21" x14ac:dyDescent="0.25">
      <c r="A122" s="264" t="s">
        <v>720</v>
      </c>
      <c r="B122" s="264"/>
      <c r="C122" s="264"/>
      <c r="D122" s="264"/>
      <c r="E122" s="264"/>
      <c r="F122" s="264"/>
      <c r="G122" s="264"/>
      <c r="H122" s="264"/>
      <c r="I122" s="264"/>
      <c r="J122" s="264"/>
      <c r="K122" s="264"/>
      <c r="L122" s="264"/>
      <c r="M122" s="244" t="s">
        <v>33</v>
      </c>
      <c r="N122" s="244"/>
      <c r="O122" s="245">
        <f>'Start Here'!E$13</f>
        <v>0</v>
      </c>
      <c r="P122" s="245"/>
      <c r="Q122" s="245"/>
    </row>
    <row r="123" spans="1:17" x14ac:dyDescent="0.25">
      <c r="D123" s="317" t="s">
        <v>25</v>
      </c>
      <c r="E123" s="317"/>
      <c r="F123" s="317"/>
      <c r="G123" s="317"/>
      <c r="H123" s="317"/>
      <c r="I123" s="317"/>
      <c r="J123" s="317"/>
      <c r="K123" s="317"/>
      <c r="L123" s="317"/>
      <c r="M123" s="244" t="s">
        <v>34</v>
      </c>
      <c r="N123" s="244"/>
      <c r="O123" s="227">
        <f>'Start Here'!$C$16</f>
        <v>2022</v>
      </c>
    </row>
    <row r="124" spans="1:17" x14ac:dyDescent="0.25">
      <c r="C124" s="114"/>
      <c r="D124" s="329" t="s">
        <v>32</v>
      </c>
      <c r="E124" s="329"/>
      <c r="F124" s="329"/>
      <c r="G124" s="342" t="s">
        <v>624</v>
      </c>
      <c r="H124" s="337"/>
      <c r="I124" s="337"/>
      <c r="J124" s="349" t="s">
        <v>646</v>
      </c>
      <c r="K124" s="350"/>
      <c r="L124" s="350"/>
    </row>
    <row r="125" spans="1:17" ht="16.5" customHeight="1" x14ac:dyDescent="0.25">
      <c r="A125" s="343" t="s">
        <v>737</v>
      </c>
      <c r="B125" s="343"/>
      <c r="C125" s="344"/>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3" t="s">
        <v>721</v>
      </c>
      <c r="O127" s="254"/>
      <c r="P127" s="255"/>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6"/>
      <c r="O128" s="257"/>
      <c r="P128" s="258"/>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6"/>
      <c r="O129" s="257"/>
      <c r="P129" s="258"/>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6"/>
      <c r="O130" s="257"/>
      <c r="P130" s="258"/>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6"/>
      <c r="O131" s="257"/>
      <c r="P131" s="258"/>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6"/>
      <c r="O132" s="257"/>
      <c r="P132" s="258"/>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6"/>
      <c r="O133" s="257"/>
      <c r="P133" s="258"/>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6"/>
      <c r="O134" s="257"/>
      <c r="P134" s="258"/>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59"/>
      <c r="O135" s="260"/>
      <c r="P135" s="261"/>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4" t="s">
        <v>694</v>
      </c>
      <c r="B144" s="264"/>
      <c r="C144" s="264"/>
      <c r="D144" s="264"/>
      <c r="E144" s="264"/>
      <c r="F144" s="264"/>
      <c r="G144" s="264"/>
      <c r="H144" s="264"/>
      <c r="I144" s="264"/>
      <c r="J144" s="264"/>
      <c r="K144" s="264"/>
      <c r="L144" s="264"/>
      <c r="M144" s="264"/>
      <c r="N144" s="264"/>
      <c r="O144" s="264"/>
      <c r="P144" s="264"/>
      <c r="Q144" s="264"/>
    </row>
    <row r="145" spans="1:17" x14ac:dyDescent="0.25">
      <c r="D145" s="316" t="s">
        <v>634</v>
      </c>
      <c r="E145" s="317"/>
      <c r="F145" s="318"/>
      <c r="G145" s="316" t="s">
        <v>25</v>
      </c>
      <c r="H145" s="317"/>
      <c r="I145" s="318"/>
      <c r="J145" s="328" t="s">
        <v>614</v>
      </c>
      <c r="K145" s="326"/>
      <c r="L145" s="326"/>
      <c r="M145" s="327"/>
      <c r="N145" s="316" t="s">
        <v>605</v>
      </c>
      <c r="O145" s="317"/>
      <c r="P145" s="317"/>
      <c r="Q145" s="317"/>
    </row>
    <row r="146" spans="1:17" ht="45" x14ac:dyDescent="0.25">
      <c r="A146" s="343" t="s">
        <v>737</v>
      </c>
      <c r="B146" s="343"/>
      <c r="C146" s="344"/>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1" t="str">
        <f>$B$8&amp;": Cases Closed, Alleged Other Rule Violations"</f>
        <v>Q4: Cases Closed, Alleged Other Rule Violations</v>
      </c>
      <c r="B165" s="351"/>
      <c r="C165" s="351"/>
      <c r="D165" s="351"/>
      <c r="E165" s="351"/>
      <c r="F165" s="351"/>
      <c r="G165" s="351"/>
      <c r="H165" s="351"/>
      <c r="I165" s="351"/>
      <c r="J165" s="351"/>
      <c r="K165" s="351"/>
      <c r="L165" s="351"/>
      <c r="M165" s="351"/>
      <c r="N165" s="351"/>
      <c r="O165" s="351"/>
      <c r="P165" s="351"/>
      <c r="Q165" s="351"/>
    </row>
    <row r="166" spans="1:17" x14ac:dyDescent="0.25">
      <c r="A166" s="351"/>
      <c r="B166" s="351"/>
      <c r="C166" s="351"/>
      <c r="D166" s="351"/>
      <c r="E166" s="351"/>
      <c r="F166" s="351"/>
      <c r="G166" s="351"/>
      <c r="H166" s="351"/>
      <c r="I166" s="351"/>
      <c r="J166" s="351"/>
      <c r="K166" s="351"/>
      <c r="L166" s="351"/>
      <c r="M166" s="351"/>
      <c r="N166" s="351"/>
      <c r="O166" s="351"/>
      <c r="P166" s="351"/>
      <c r="Q166" s="351"/>
    </row>
    <row r="167" spans="1:17" ht="21" customHeight="1" x14ac:dyDescent="0.25">
      <c r="A167" s="315" t="s">
        <v>738</v>
      </c>
      <c r="B167" s="315"/>
      <c r="C167" s="315"/>
      <c r="D167" s="315"/>
      <c r="E167" s="315"/>
      <c r="F167" s="315"/>
      <c r="G167" s="315"/>
      <c r="H167" s="315"/>
      <c r="I167" s="315"/>
      <c r="J167" s="315"/>
      <c r="K167" s="315"/>
      <c r="L167" s="315"/>
      <c r="M167" s="244" t="s">
        <v>33</v>
      </c>
      <c r="N167" s="244"/>
      <c r="O167" s="245">
        <f>'Start Here'!E$13</f>
        <v>0</v>
      </c>
      <c r="P167" s="245"/>
      <c r="Q167" s="245"/>
    </row>
    <row r="168" spans="1:17" ht="36" customHeight="1" x14ac:dyDescent="0.25">
      <c r="C168" s="114"/>
      <c r="D168" s="250" t="s">
        <v>645</v>
      </c>
      <c r="E168" s="250"/>
      <c r="F168" s="249"/>
      <c r="G168" s="262" t="s">
        <v>635</v>
      </c>
      <c r="H168" s="248"/>
      <c r="I168" s="249"/>
      <c r="J168" s="262" t="s">
        <v>631</v>
      </c>
      <c r="K168" s="248"/>
      <c r="L168" s="248"/>
      <c r="M168" s="244" t="s">
        <v>34</v>
      </c>
      <c r="N168" s="244"/>
      <c r="O168" s="227">
        <f>'Start Here'!$C$16</f>
        <v>2022</v>
      </c>
    </row>
    <row r="169" spans="1:17" x14ac:dyDescent="0.25">
      <c r="D169" s="316" t="s">
        <v>25</v>
      </c>
      <c r="E169" s="317"/>
      <c r="F169" s="318"/>
      <c r="G169" s="316" t="s">
        <v>25</v>
      </c>
      <c r="H169" s="317"/>
      <c r="I169" s="318"/>
      <c r="J169" s="316" t="s">
        <v>25</v>
      </c>
      <c r="K169" s="317"/>
      <c r="L169" s="317"/>
    </row>
    <row r="170" spans="1:17" ht="15.75" customHeight="1" x14ac:dyDescent="0.25">
      <c r="A170" s="323" t="s">
        <v>734</v>
      </c>
      <c r="B170" s="323"/>
      <c r="C170" s="324"/>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3" t="s">
        <v>725</v>
      </c>
      <c r="O172" s="254"/>
      <c r="P172" s="255"/>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6"/>
      <c r="O173" s="257"/>
      <c r="P173" s="258"/>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6"/>
      <c r="O174" s="257"/>
      <c r="P174" s="258"/>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6"/>
      <c r="O175" s="257"/>
      <c r="P175" s="258"/>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6"/>
      <c r="O176" s="257"/>
      <c r="P176" s="258"/>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6"/>
      <c r="O177" s="257"/>
      <c r="P177" s="258"/>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6"/>
      <c r="O178" s="257"/>
      <c r="P178" s="258"/>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6"/>
      <c r="O179" s="257"/>
      <c r="P179" s="258"/>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6"/>
      <c r="O180" s="257"/>
      <c r="P180" s="258"/>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6"/>
      <c r="O181" s="257"/>
      <c r="P181" s="258"/>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6"/>
      <c r="O182" s="257"/>
      <c r="P182" s="258"/>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6"/>
      <c r="O183" s="257"/>
      <c r="P183" s="258"/>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6"/>
      <c r="O184" s="257"/>
      <c r="P184" s="258"/>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6"/>
      <c r="O185" s="257"/>
      <c r="P185" s="258"/>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59"/>
      <c r="O186" s="260"/>
      <c r="P186" s="261"/>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1" t="s">
        <v>722</v>
      </c>
      <c r="B189" s="251"/>
      <c r="C189" s="251"/>
      <c r="D189" s="251"/>
      <c r="E189" s="251"/>
      <c r="F189" s="251"/>
      <c r="G189" s="251"/>
      <c r="H189" s="251"/>
      <c r="I189" s="251"/>
      <c r="J189" s="251"/>
      <c r="K189" s="251"/>
      <c r="L189" s="251"/>
      <c r="M189" s="205"/>
      <c r="N189" s="205"/>
      <c r="O189" s="205"/>
      <c r="Q189" s="178"/>
    </row>
    <row r="190" spans="1:17" ht="40.5" customHeight="1" x14ac:dyDescent="0.25">
      <c r="A190" s="205"/>
      <c r="B190" s="205"/>
      <c r="C190" s="206"/>
      <c r="D190" s="248" t="s">
        <v>723</v>
      </c>
      <c r="E190" s="249"/>
      <c r="F190" s="250" t="s">
        <v>733</v>
      </c>
      <c r="G190" s="250"/>
      <c r="H190" s="205"/>
      <c r="I190" s="205"/>
      <c r="J190" s="205"/>
      <c r="K190" s="205"/>
      <c r="L190" s="205"/>
      <c r="M190" s="205"/>
      <c r="N190" s="205"/>
      <c r="O190" s="205"/>
      <c r="Q190" s="178"/>
    </row>
    <row r="191" spans="1:17" ht="33" customHeight="1" x14ac:dyDescent="0.25">
      <c r="D191" s="246" t="s">
        <v>724</v>
      </c>
      <c r="E191" s="325"/>
      <c r="F191" s="246" t="s">
        <v>724</v>
      </c>
      <c r="G191" s="247"/>
      <c r="H191" s="186"/>
      <c r="Q191" s="178"/>
    </row>
    <row r="192" spans="1:17" ht="45" customHeight="1" x14ac:dyDescent="0.25">
      <c r="A192" s="321" t="s">
        <v>726</v>
      </c>
      <c r="B192" s="321"/>
      <c r="C192" s="322"/>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8" t="str">
        <f>$B$8&amp;": Cases Opened and Closed, Alleged Criminal Violations"</f>
        <v>Q4: Cases Opened and Closed, Alleged Criminal Violations</v>
      </c>
      <c r="B210" s="348"/>
      <c r="C210" s="348"/>
      <c r="D210" s="348"/>
      <c r="E210" s="348"/>
      <c r="F210" s="348"/>
      <c r="G210" s="348"/>
      <c r="H210" s="348"/>
      <c r="I210" s="348"/>
      <c r="J210" s="348"/>
      <c r="K210" s="348"/>
      <c r="L210" s="348"/>
      <c r="M210" s="348"/>
      <c r="N210" s="348"/>
      <c r="O210" s="348"/>
      <c r="P210" s="348"/>
      <c r="Q210" s="348"/>
    </row>
    <row r="211" spans="1:17" x14ac:dyDescent="0.25">
      <c r="A211" s="348"/>
      <c r="B211" s="348"/>
      <c r="C211" s="348"/>
      <c r="D211" s="348"/>
      <c r="E211" s="348"/>
      <c r="F211" s="348"/>
      <c r="G211" s="348"/>
      <c r="H211" s="348"/>
      <c r="I211" s="348"/>
      <c r="J211" s="348"/>
      <c r="K211" s="348"/>
      <c r="L211" s="348"/>
      <c r="M211" s="348"/>
      <c r="N211" s="348"/>
      <c r="O211" s="348"/>
      <c r="P211" s="348"/>
      <c r="Q211" s="348"/>
    </row>
    <row r="212" spans="1:17" ht="21" x14ac:dyDescent="0.25">
      <c r="A212" s="264" t="s">
        <v>695</v>
      </c>
      <c r="B212" s="264"/>
      <c r="C212" s="264"/>
      <c r="D212" s="264"/>
      <c r="E212" s="264"/>
      <c r="F212" s="264"/>
      <c r="G212" s="264"/>
      <c r="H212" s="264"/>
      <c r="I212" s="264"/>
      <c r="J212" s="264"/>
      <c r="K212" s="264"/>
      <c r="L212" s="264"/>
      <c r="M212" s="264"/>
      <c r="N212" s="264"/>
      <c r="O212" s="264"/>
      <c r="P212" s="264"/>
      <c r="Q212" s="264"/>
    </row>
    <row r="213" spans="1:17" x14ac:dyDescent="0.25">
      <c r="D213" s="317" t="s">
        <v>25</v>
      </c>
      <c r="E213" s="317"/>
      <c r="F213" s="317"/>
      <c r="G213" s="317"/>
      <c r="H213" s="317"/>
      <c r="I213" s="317"/>
      <c r="J213" s="317"/>
      <c r="K213" s="317"/>
      <c r="L213" s="317"/>
      <c r="M213" s="244" t="s">
        <v>33</v>
      </c>
      <c r="N213" s="244"/>
      <c r="O213" s="245">
        <f>'Start Here'!E$13</f>
        <v>0</v>
      </c>
      <c r="P213" s="245"/>
      <c r="Q213" s="245"/>
    </row>
    <row r="214" spans="1:17" ht="15" customHeight="1" x14ac:dyDescent="0.25">
      <c r="C214" s="329" t="s">
        <v>32</v>
      </c>
      <c r="D214" s="329"/>
      <c r="E214" s="330"/>
      <c r="F214" s="342" t="s">
        <v>624</v>
      </c>
      <c r="G214" s="337"/>
      <c r="H214" s="330"/>
      <c r="I214" s="349" t="s">
        <v>646</v>
      </c>
      <c r="J214" s="350"/>
      <c r="K214" s="350"/>
      <c r="M214" s="244" t="s">
        <v>34</v>
      </c>
      <c r="N214" s="244"/>
      <c r="O214" s="227">
        <f>'Start Here'!$C$16</f>
        <v>2022</v>
      </c>
    </row>
    <row r="215" spans="1:17" ht="16.5" customHeight="1" x14ac:dyDescent="0.25">
      <c r="A215" s="343" t="s">
        <v>739</v>
      </c>
      <c r="B215" s="343"/>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3" t="s">
        <v>727</v>
      </c>
      <c r="O217" s="254"/>
      <c r="P217" s="255"/>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6"/>
      <c r="O218" s="257"/>
      <c r="P218" s="258"/>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6"/>
      <c r="O219" s="257"/>
      <c r="P219" s="258"/>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6"/>
      <c r="O220" s="257"/>
      <c r="P220" s="258"/>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6"/>
      <c r="O221" s="257"/>
      <c r="P221" s="258"/>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6"/>
      <c r="O222" s="257"/>
      <c r="P222" s="258"/>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59"/>
      <c r="O223" s="260"/>
      <c r="P223" s="261"/>
    </row>
    <row r="224" spans="1:17" x14ac:dyDescent="0.25">
      <c r="O224" s="178"/>
      <c r="P224" s="178"/>
      <c r="Q224" s="178"/>
    </row>
    <row r="225" spans="1:17" ht="21" x14ac:dyDescent="0.25">
      <c r="A225" s="264" t="s">
        <v>696</v>
      </c>
      <c r="B225" s="264"/>
      <c r="C225" s="264"/>
      <c r="D225" s="264"/>
      <c r="E225" s="264"/>
      <c r="F225" s="264"/>
      <c r="G225" s="264"/>
      <c r="H225" s="264"/>
      <c r="I225" s="264"/>
      <c r="J225" s="264"/>
      <c r="K225" s="264"/>
      <c r="L225" s="264"/>
      <c r="M225" s="264"/>
      <c r="N225" s="264"/>
      <c r="O225" s="264"/>
      <c r="P225" s="264"/>
      <c r="Q225" s="264"/>
    </row>
    <row r="226" spans="1:17" x14ac:dyDescent="0.25">
      <c r="C226" s="316" t="s">
        <v>634</v>
      </c>
      <c r="D226" s="317"/>
      <c r="E226" s="318"/>
      <c r="F226" s="316" t="s">
        <v>25</v>
      </c>
      <c r="G226" s="317"/>
      <c r="H226" s="318"/>
      <c r="I226" s="328" t="s">
        <v>614</v>
      </c>
      <c r="J226" s="326"/>
      <c r="K226" s="326"/>
      <c r="L226" s="327"/>
      <c r="M226" s="316" t="s">
        <v>605</v>
      </c>
      <c r="N226" s="317"/>
      <c r="O226" s="317"/>
      <c r="P226" s="317"/>
    </row>
    <row r="227" spans="1:17" ht="32.25" customHeight="1" x14ac:dyDescent="0.25">
      <c r="A227" s="343" t="s">
        <v>739</v>
      </c>
      <c r="B227" s="344"/>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8" t="str">
        <f>$B$8&amp;": Cases Closed, Alleged Criminal Violations"</f>
        <v>Q4: Cases Closed, Alleged Criminal Violations</v>
      </c>
      <c r="B237" s="348"/>
      <c r="C237" s="348"/>
      <c r="D237" s="348"/>
      <c r="E237" s="348"/>
      <c r="F237" s="348"/>
      <c r="G237" s="348"/>
      <c r="H237" s="348"/>
      <c r="I237" s="348"/>
      <c r="J237" s="348"/>
      <c r="K237" s="348"/>
      <c r="L237" s="348"/>
      <c r="M237" s="348"/>
      <c r="N237" s="348"/>
      <c r="O237" s="348"/>
      <c r="P237" s="348"/>
      <c r="Q237" s="348"/>
    </row>
    <row r="238" spans="1:17" x14ac:dyDescent="0.25">
      <c r="A238" s="348"/>
      <c r="B238" s="348"/>
      <c r="C238" s="348"/>
      <c r="D238" s="348"/>
      <c r="E238" s="348"/>
      <c r="F238" s="348"/>
      <c r="G238" s="348"/>
      <c r="H238" s="348"/>
      <c r="I238" s="348"/>
      <c r="J238" s="348"/>
      <c r="K238" s="348"/>
      <c r="L238" s="348"/>
      <c r="M238" s="348"/>
      <c r="N238" s="348"/>
      <c r="O238" s="348"/>
      <c r="P238" s="348"/>
      <c r="Q238" s="348"/>
    </row>
    <row r="239" spans="1:17" ht="21" x14ac:dyDescent="0.25">
      <c r="A239" s="315" t="s">
        <v>705</v>
      </c>
      <c r="B239" s="315"/>
      <c r="C239" s="315"/>
      <c r="D239" s="315"/>
      <c r="E239" s="315"/>
      <c r="F239" s="315"/>
      <c r="G239" s="315"/>
      <c r="H239" s="315"/>
      <c r="I239" s="315"/>
      <c r="J239" s="315"/>
      <c r="K239" s="315"/>
      <c r="L239" s="315"/>
      <c r="M239" s="244" t="s">
        <v>33</v>
      </c>
      <c r="N239" s="244"/>
      <c r="O239" s="245">
        <f>'Start Here'!E$13</f>
        <v>0</v>
      </c>
      <c r="P239" s="245"/>
      <c r="Q239" s="245"/>
    </row>
    <row r="240" spans="1:17" ht="43.15" customHeight="1" x14ac:dyDescent="0.25">
      <c r="C240" s="114"/>
      <c r="D240" s="250" t="s">
        <v>645</v>
      </c>
      <c r="E240" s="250"/>
      <c r="F240" s="249"/>
      <c r="G240" s="262" t="s">
        <v>635</v>
      </c>
      <c r="H240" s="248"/>
      <c r="I240" s="249"/>
      <c r="J240" s="262" t="s">
        <v>631</v>
      </c>
      <c r="K240" s="248"/>
      <c r="L240" s="248"/>
      <c r="M240" s="244" t="s">
        <v>34</v>
      </c>
      <c r="N240" s="244"/>
      <c r="O240" s="227">
        <f>'Start Here'!$C$16</f>
        <v>2022</v>
      </c>
    </row>
    <row r="241" spans="1:17" x14ac:dyDescent="0.25">
      <c r="D241" s="316" t="s">
        <v>25</v>
      </c>
      <c r="E241" s="317"/>
      <c r="F241" s="318"/>
      <c r="G241" s="316" t="s">
        <v>25</v>
      </c>
      <c r="H241" s="317"/>
      <c r="I241" s="318"/>
      <c r="J241" s="316" t="s">
        <v>25</v>
      </c>
      <c r="K241" s="317"/>
      <c r="L241" s="317"/>
    </row>
    <row r="242" spans="1:17" ht="30" x14ac:dyDescent="0.25">
      <c r="A242" s="323" t="s">
        <v>740</v>
      </c>
      <c r="B242" s="323"/>
      <c r="C242" s="324"/>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3" t="s">
        <v>728</v>
      </c>
      <c r="O244" s="254"/>
      <c r="P244" s="255"/>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6"/>
      <c r="O245" s="257"/>
      <c r="P245" s="258"/>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6"/>
      <c r="O246" s="257"/>
      <c r="P246" s="258"/>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6"/>
      <c r="O247" s="257"/>
      <c r="P247" s="258"/>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6"/>
      <c r="O248" s="257"/>
      <c r="P248" s="258"/>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6"/>
      <c r="O249" s="257"/>
      <c r="P249" s="258"/>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6"/>
      <c r="O250" s="257"/>
      <c r="P250" s="258"/>
      <c r="Q250" s="178"/>
    </row>
    <row r="251" spans="1:17" x14ac:dyDescent="0.25">
      <c r="A251" s="5"/>
      <c r="B251" s="5"/>
      <c r="C251" s="5"/>
      <c r="D251" s="178"/>
      <c r="E251" s="178"/>
      <c r="F251" s="178"/>
      <c r="G251" s="178"/>
      <c r="H251" s="178"/>
      <c r="I251" s="178"/>
      <c r="J251" s="178"/>
      <c r="K251" s="178"/>
      <c r="M251" s="143"/>
      <c r="N251" s="256"/>
      <c r="O251" s="257"/>
      <c r="P251" s="258"/>
      <c r="Q251" s="178"/>
    </row>
    <row r="252" spans="1:17" ht="48" customHeight="1" x14ac:dyDescent="0.25">
      <c r="A252" s="251" t="s">
        <v>741</v>
      </c>
      <c r="B252" s="251"/>
      <c r="C252" s="251"/>
      <c r="D252" s="251"/>
      <c r="E252" s="251"/>
      <c r="F252" s="251"/>
      <c r="G252" s="251"/>
      <c r="H252" s="186"/>
      <c r="N252" s="256"/>
      <c r="O252" s="257"/>
      <c r="P252" s="258"/>
      <c r="Q252" s="178"/>
    </row>
    <row r="253" spans="1:17" ht="47.25" customHeight="1" thickBot="1" x14ac:dyDescent="0.3">
      <c r="A253" s="205"/>
      <c r="B253" s="205"/>
      <c r="C253" s="206"/>
      <c r="D253" s="262" t="s">
        <v>723</v>
      </c>
      <c r="E253" s="249"/>
      <c r="F253" s="248" t="s">
        <v>733</v>
      </c>
      <c r="G253" s="248"/>
      <c r="H253" s="186"/>
      <c r="N253" s="259"/>
      <c r="O253" s="260"/>
      <c r="P253" s="261"/>
      <c r="Q253" s="178"/>
    </row>
    <row r="254" spans="1:17" ht="32.25" customHeight="1" x14ac:dyDescent="0.25">
      <c r="D254" s="246" t="s">
        <v>637</v>
      </c>
      <c r="E254" s="325"/>
      <c r="F254" s="247" t="s">
        <v>637</v>
      </c>
      <c r="G254" s="247"/>
      <c r="H254" s="186"/>
      <c r="N254" s="213"/>
      <c r="O254" s="213"/>
      <c r="P254" s="213"/>
      <c r="Q254" s="178"/>
    </row>
    <row r="255" spans="1:17" ht="45" customHeight="1" x14ac:dyDescent="0.25">
      <c r="A255" s="321" t="s">
        <v>739</v>
      </c>
      <c r="B255" s="321"/>
      <c r="C255" s="322"/>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8" t="str">
        <f>$B$8&amp;": Discipline Issued"</f>
        <v>Q4: Discipline Issued</v>
      </c>
      <c r="B265" s="348"/>
      <c r="C265" s="348"/>
      <c r="D265" s="348"/>
      <c r="E265" s="348"/>
      <c r="F265" s="348"/>
      <c r="G265" s="348"/>
      <c r="H265" s="348"/>
      <c r="I265" s="348"/>
      <c r="J265" s="348"/>
      <c r="K265" s="348"/>
      <c r="L265" s="348"/>
      <c r="M265" s="348"/>
      <c r="N265" s="348"/>
      <c r="O265" s="348"/>
      <c r="P265" s="348"/>
      <c r="Q265" s="348"/>
    </row>
    <row r="266" spans="1:17" x14ac:dyDescent="0.25">
      <c r="A266" s="348"/>
      <c r="B266" s="348"/>
      <c r="C266" s="348"/>
      <c r="D266" s="348"/>
      <c r="E266" s="348"/>
      <c r="F266" s="348"/>
      <c r="G266" s="348"/>
      <c r="H266" s="348"/>
      <c r="I266" s="348"/>
      <c r="J266" s="348"/>
      <c r="K266" s="348"/>
      <c r="L266" s="348"/>
      <c r="M266" s="348"/>
      <c r="N266" s="348"/>
      <c r="O266" s="348"/>
      <c r="P266" s="348"/>
      <c r="Q266" s="348"/>
    </row>
    <row r="267" spans="1:17" ht="21" customHeight="1" x14ac:dyDescent="0.25">
      <c r="A267" s="264" t="s">
        <v>729</v>
      </c>
      <c r="B267" s="264"/>
      <c r="C267" s="264"/>
      <c r="D267" s="264"/>
      <c r="E267" s="264"/>
      <c r="F267" s="264"/>
      <c r="G267" s="264"/>
      <c r="H267" s="264"/>
      <c r="I267" s="264"/>
      <c r="J267" s="264"/>
      <c r="K267" s="264"/>
      <c r="L267" s="264"/>
      <c r="M267" s="264"/>
      <c r="N267" s="264"/>
      <c r="O267" s="264"/>
      <c r="P267" s="264"/>
      <c r="Q267" s="264"/>
    </row>
    <row r="268" spans="1:17" ht="75" x14ac:dyDescent="0.25">
      <c r="A268" s="319" t="s">
        <v>702</v>
      </c>
      <c r="B268" s="319"/>
      <c r="C268" s="320"/>
      <c r="D268" s="131" t="s">
        <v>663</v>
      </c>
      <c r="E268" s="131" t="s">
        <v>664</v>
      </c>
      <c r="F268" s="131" t="s">
        <v>665</v>
      </c>
      <c r="G268" s="131" t="s">
        <v>666</v>
      </c>
      <c r="H268" s="131" t="s">
        <v>667</v>
      </c>
      <c r="I268" s="131" t="s">
        <v>668</v>
      </c>
      <c r="J268" s="131" t="s">
        <v>669</v>
      </c>
      <c r="K268" s="131" t="s">
        <v>670</v>
      </c>
      <c r="L268" s="138" t="s">
        <v>671</v>
      </c>
      <c r="M268" s="10" t="s">
        <v>703</v>
      </c>
      <c r="N268" s="244" t="s">
        <v>33</v>
      </c>
      <c r="O268" s="244"/>
      <c r="P268" s="245">
        <f>'Start Here'!F$13</f>
        <v>0</v>
      </c>
      <c r="Q268" s="245"/>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4" t="s">
        <v>34</v>
      </c>
      <c r="O269" s="24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19" t="s">
        <v>700</v>
      </c>
      <c r="B280" s="319"/>
      <c r="C280" s="320"/>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6" t="s">
        <v>701</v>
      </c>
      <c r="B299" s="326"/>
      <c r="C299" s="32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Anthony Semus</cp:lastModifiedBy>
  <cp:lastPrinted>2022-01-04T15:32:56Z</cp:lastPrinted>
  <dcterms:created xsi:type="dcterms:W3CDTF">2020-04-02T16:56:18Z</dcterms:created>
  <dcterms:modified xsi:type="dcterms:W3CDTF">2023-05-16T18:06:09Z</dcterms:modified>
</cp:coreProperties>
</file>